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showInkAnnotation="0" codeName="Denne_projektmappe"/>
  <mc:AlternateContent xmlns:mc="http://schemas.openxmlformats.org/markup-compatibility/2006">
    <mc:Choice Requires="x15">
      <x15ac:absPath xmlns:x15ac="http://schemas.microsoft.com/office/spreadsheetml/2010/11/ac" url="https://aarhusuniversitet-my.sharepoint.com/personal/au596242_uni_au_dk/Documents/Desktop/"/>
    </mc:Choice>
  </mc:AlternateContent>
  <xr:revisionPtr revIDLastSave="36" documentId="13_ncr:1_{2CD0EF34-D8CF-46DC-B3D7-571D6E77A677}" xr6:coauthVersionLast="47" xr6:coauthVersionMax="47" xr10:uidLastSave="{0EA6993E-25A2-4993-9B6C-F28F6A1190BA}"/>
  <workbookProtection workbookAlgorithmName="SHA-512" workbookHashValue="rv0ypiJKhGAcIV2T43UzDGfQbYbLPENxk/TrIUz+Ro50kXw7guBR+hJ1AtH8PAmtiUpKsDTc19qb0WZyD2Uyqg==" workbookSaltValue="kJ1yO5ZcR0nf2GSpwEzoGg==" workbookSpinCount="100000" lockStructure="1"/>
  <bookViews>
    <workbookView xWindow="-108" yWindow="-108" windowWidth="23256" windowHeight="13896" xr2:uid="{00000000-000D-0000-FFFF-FFFF00000000}"/>
  </bookViews>
  <sheets>
    <sheet name="Rejseafregning " sheetId="3" r:id="rId1"/>
    <sheet name="Valuta" sheetId="6" state="hidden" r:id="rId2"/>
    <sheet name="Beregninger" sheetId="5" state="hidden" r:id="rId3"/>
    <sheet name="Satser" sheetId="4" state="hidden" r:id="rId4"/>
    <sheet name="Hvordan gør du" sheetId="8" state="hidden" r:id="rId5"/>
  </sheets>
  <definedNames>
    <definedName name="A">'Rejseafregning '!$AK$26</definedName>
    <definedName name="AFDELING">'Rejseafregning '!$B$2</definedName>
    <definedName name="Afdelinger">Beregninger!$I$49:$I$65</definedName>
    <definedName name="B">'Rejseafregning '!$AK$27</definedName>
    <definedName name="Blanksrange">Beregninger!$C$7:$C$14</definedName>
    <definedName name="Cr">'Rejseafregning '!$AK$28</definedName>
    <definedName name="D">'Rejseafregning '!$AK$29</definedName>
    <definedName name="Dansk">Satser!$B$9:$B$87</definedName>
    <definedName name="Departments">Beregninger!$M$49:$M$65</definedName>
    <definedName name="English">Satser!$C$9:$C$87</definedName>
    <definedName name="F">'Rejseafregning '!$AK$31</definedName>
    <definedName name="G">'Rejseafregning '!$AK$32</definedName>
    <definedName name="H">'Rejseafregning '!$AK$33</definedName>
    <definedName name="kurs1">'Rejseafregning '!$AA$24</definedName>
    <definedName name="kurs2">'Rejseafregning '!$AF$24</definedName>
    <definedName name="LANGUAGE">'Rejseafregning '!$AL$2</definedName>
    <definedName name="MAD">'Rejseafregning '!$AK$30</definedName>
    <definedName name="MADINDLAND">'Rejseafregning '!$S$30</definedName>
    <definedName name="MADUDLAND">'Rejseafregning '!$Y$30:$AJ$30</definedName>
    <definedName name="MADUDLAND1">'Rejseafregning '!$Y$30</definedName>
    <definedName name="MADUDLAND2">'Rejseafregning '!$AD$30</definedName>
    <definedName name="Nation">'Rejseafregning '!$J$15</definedName>
    <definedName name="NOBLANKSRANGE">Beregninger!$D$7:$D$14</definedName>
    <definedName name="PHD">Beregninger!$M$27:$M$28</definedName>
    <definedName name="PHDe">Beregninger!$N$27:$N$28</definedName>
    <definedName name="RATE">Beregninger!$M$26</definedName>
    <definedName name="Sprog">Beregninger!$B$1:$B$3</definedName>
    <definedName name="Type">'Rejseafregning '!$Y$2</definedName>
    <definedName name="Typed">Beregninger!$C$33:$C$34</definedName>
    <definedName name="Typee">Beregninger!$F$33:$F$34</definedName>
    <definedName name="_xlnm.Print_Area" localSheetId="0">'Rejseafregning '!$B$1:$AO$54</definedName>
    <definedName name="Valuta">'Rejseafregning '!$AC$7</definedName>
    <definedName name="Valuta1">'Rejseafregning '!$U$22</definedName>
    <definedName name="Valuta2">'Rejseafregning '!$AA$22</definedName>
    <definedName name="Valuta3">'Rejseafregning '!$AF$22</definedName>
    <definedName name="Vtyper">Valuta!$B$4:$B$37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Z43" i="3" l="1"/>
  <c r="Z38" i="3"/>
  <c r="W3" i="3"/>
  <c r="B58" i="3" l="1"/>
  <c r="B59" i="3"/>
  <c r="B60" i="3"/>
  <c r="B62" i="3"/>
  <c r="E53" i="3"/>
  <c r="B3" i="3"/>
  <c r="B7" i="3"/>
  <c r="D10" i="4" l="1"/>
  <c r="G5" i="4" l="1"/>
  <c r="B39" i="3" l="1"/>
  <c r="AO21" i="3" l="1"/>
  <c r="AK26" i="3" s="1"/>
  <c r="W5" i="3" l="1"/>
  <c r="D11" i="4" l="1"/>
  <c r="D89" i="4" s="1"/>
  <c r="D12" i="4"/>
  <c r="D90" i="4" s="1"/>
  <c r="D13" i="4"/>
  <c r="D91" i="4" s="1"/>
  <c r="D14" i="4"/>
  <c r="D92" i="4" s="1"/>
  <c r="D15" i="4"/>
  <c r="D93" i="4" s="1"/>
  <c r="D16" i="4"/>
  <c r="D94" i="4" s="1"/>
  <c r="D17" i="4"/>
  <c r="D95" i="4" s="1"/>
  <c r="D18" i="4"/>
  <c r="D96" i="4" s="1"/>
  <c r="D19" i="4"/>
  <c r="D97" i="4" s="1"/>
  <c r="D20" i="4"/>
  <c r="D98" i="4" s="1"/>
  <c r="D21" i="4"/>
  <c r="D99" i="4" s="1"/>
  <c r="D22" i="4"/>
  <c r="D100" i="4" s="1"/>
  <c r="D23" i="4"/>
  <c r="D101" i="4" s="1"/>
  <c r="D24" i="4"/>
  <c r="D102" i="4" s="1"/>
  <c r="D25" i="4"/>
  <c r="D103" i="4" s="1"/>
  <c r="D26" i="4"/>
  <c r="D104" i="4" s="1"/>
  <c r="D27" i="4"/>
  <c r="D105" i="4" s="1"/>
  <c r="D28" i="4"/>
  <c r="D106" i="4" s="1"/>
  <c r="D29" i="4"/>
  <c r="D107" i="4" s="1"/>
  <c r="D30" i="4"/>
  <c r="D108" i="4" s="1"/>
  <c r="D31" i="4"/>
  <c r="D109" i="4" s="1"/>
  <c r="D32" i="4"/>
  <c r="D110" i="4" s="1"/>
  <c r="D33" i="4"/>
  <c r="D111" i="4" s="1"/>
  <c r="D34" i="4"/>
  <c r="D112" i="4" s="1"/>
  <c r="D35" i="4"/>
  <c r="D113" i="4" s="1"/>
  <c r="D36" i="4"/>
  <c r="D114" i="4" s="1"/>
  <c r="D37" i="4"/>
  <c r="D115" i="4" s="1"/>
  <c r="D38" i="4"/>
  <c r="D116" i="4" s="1"/>
  <c r="D39" i="4"/>
  <c r="D117" i="4" s="1"/>
  <c r="D40" i="4"/>
  <c r="D118" i="4" s="1"/>
  <c r="D41" i="4"/>
  <c r="D119" i="4" s="1"/>
  <c r="D42" i="4"/>
  <c r="D120" i="4" s="1"/>
  <c r="D43" i="4"/>
  <c r="D121" i="4" s="1"/>
  <c r="D44" i="4"/>
  <c r="D122" i="4" s="1"/>
  <c r="D45" i="4"/>
  <c r="D123" i="4" s="1"/>
  <c r="D46" i="4"/>
  <c r="D124" i="4" s="1"/>
  <c r="D47" i="4"/>
  <c r="D125" i="4" s="1"/>
  <c r="D48" i="4"/>
  <c r="D126" i="4" s="1"/>
  <c r="D49" i="4"/>
  <c r="D127" i="4" s="1"/>
  <c r="D50" i="4"/>
  <c r="D128" i="4" s="1"/>
  <c r="D51" i="4"/>
  <c r="D129" i="4" s="1"/>
  <c r="D52" i="4"/>
  <c r="D130" i="4" s="1"/>
  <c r="D53" i="4"/>
  <c r="D131" i="4" s="1"/>
  <c r="D54" i="4"/>
  <c r="D132" i="4" s="1"/>
  <c r="D55" i="4"/>
  <c r="D133" i="4" s="1"/>
  <c r="D56" i="4"/>
  <c r="D134" i="4" s="1"/>
  <c r="D57" i="4"/>
  <c r="D135" i="4" s="1"/>
  <c r="D58" i="4"/>
  <c r="D136" i="4" s="1"/>
  <c r="D59" i="4"/>
  <c r="D137" i="4" s="1"/>
  <c r="D60" i="4"/>
  <c r="D138" i="4" s="1"/>
  <c r="D61" i="4"/>
  <c r="D139" i="4" s="1"/>
  <c r="D62" i="4"/>
  <c r="D140" i="4" s="1"/>
  <c r="D63" i="4"/>
  <c r="D141" i="4" s="1"/>
  <c r="D64" i="4"/>
  <c r="D142" i="4" s="1"/>
  <c r="D65" i="4"/>
  <c r="D143" i="4" s="1"/>
  <c r="D66" i="4"/>
  <c r="D144" i="4" s="1"/>
  <c r="D67" i="4"/>
  <c r="D145" i="4" s="1"/>
  <c r="D68" i="4"/>
  <c r="D146" i="4" s="1"/>
  <c r="D69" i="4"/>
  <c r="D147" i="4" s="1"/>
  <c r="D70" i="4"/>
  <c r="D148" i="4" s="1"/>
  <c r="D71" i="4"/>
  <c r="D149" i="4" s="1"/>
  <c r="D72" i="4"/>
  <c r="D150" i="4" s="1"/>
  <c r="D73" i="4"/>
  <c r="D151" i="4" s="1"/>
  <c r="D74" i="4"/>
  <c r="D152" i="4" s="1"/>
  <c r="D75" i="4"/>
  <c r="D153" i="4" s="1"/>
  <c r="D76" i="4"/>
  <c r="D154" i="4" s="1"/>
  <c r="D77" i="4"/>
  <c r="D155" i="4" s="1"/>
  <c r="D78" i="4"/>
  <c r="D156" i="4" s="1"/>
  <c r="D79" i="4"/>
  <c r="D157" i="4" s="1"/>
  <c r="D80" i="4"/>
  <c r="D158" i="4" s="1"/>
  <c r="D81" i="4"/>
  <c r="D159" i="4" s="1"/>
  <c r="D82" i="4"/>
  <c r="D160" i="4" s="1"/>
  <c r="D83" i="4"/>
  <c r="D161" i="4" s="1"/>
  <c r="D84" i="4"/>
  <c r="D162" i="4" s="1"/>
  <c r="D85" i="4"/>
  <c r="D163" i="4" s="1"/>
  <c r="D86" i="4"/>
  <c r="D164" i="4" s="1"/>
  <c r="D87" i="4"/>
  <c r="D165" i="4" s="1"/>
  <c r="D88" i="4"/>
  <c r="AL7" i="3"/>
  <c r="W53" i="3"/>
  <c r="L33" i="5"/>
  <c r="B5" i="3"/>
  <c r="E5" i="6"/>
  <c r="G5" i="6" s="1"/>
  <c r="E6" i="6"/>
  <c r="G6" i="6" s="1"/>
  <c r="B42" i="3"/>
  <c r="AK27" i="3"/>
  <c r="O8" i="5" s="1"/>
  <c r="AK28" i="3"/>
  <c r="O9" i="5" s="1"/>
  <c r="AK29" i="3"/>
  <c r="O10" i="5" s="1"/>
  <c r="AK30" i="3"/>
  <c r="O11" i="5" s="1"/>
  <c r="AK31" i="3"/>
  <c r="AK33" i="3"/>
  <c r="O14" i="5" s="1"/>
  <c r="AK32" i="3"/>
  <c r="O13" i="5" s="1"/>
  <c r="H32" i="3"/>
  <c r="H31" i="3"/>
  <c r="B30" i="3"/>
  <c r="B14" i="3"/>
  <c r="W6" i="3"/>
  <c r="B33" i="3"/>
  <c r="B34" i="3"/>
  <c r="B6" i="3"/>
  <c r="B16" i="3"/>
  <c r="B50" i="3"/>
  <c r="G14" i="3"/>
  <c r="B9" i="3"/>
  <c r="B1" i="3"/>
  <c r="C23" i="4"/>
  <c r="B23" i="4"/>
  <c r="AA20" i="3"/>
  <c r="C6" i="5"/>
  <c r="D6" i="5" s="1"/>
  <c r="F12" i="5"/>
  <c r="H2" i="5"/>
  <c r="J1" i="5" s="1"/>
  <c r="B35" i="3" s="1"/>
  <c r="E7" i="5"/>
  <c r="K20" i="5"/>
  <c r="B53" i="3"/>
  <c r="T53" i="3" s="1"/>
  <c r="AD18" i="3"/>
  <c r="AN18" i="3" s="1"/>
  <c r="W20" i="3"/>
  <c r="K20" i="3"/>
  <c r="AO36" i="3"/>
  <c r="AK36" i="3"/>
  <c r="AK21" i="3"/>
  <c r="M2" i="6"/>
  <c r="B63" i="3" s="1"/>
  <c r="E1" i="5"/>
  <c r="E2" i="5"/>
  <c r="K15" i="5"/>
  <c r="K16" i="5"/>
  <c r="K18" i="5" s="1"/>
  <c r="C61" i="3" s="1"/>
  <c r="M20" i="5"/>
  <c r="M26" i="5"/>
  <c r="M29" i="5"/>
  <c r="W14" i="3"/>
  <c r="AB14" i="3"/>
  <c r="AL14" i="3"/>
  <c r="G15" i="3"/>
  <c r="W16" i="3"/>
  <c r="AB16" i="3"/>
  <c r="AL16" i="3"/>
  <c r="W18" i="3"/>
  <c r="AB18" i="3"/>
  <c r="AL18" i="3"/>
  <c r="B21" i="3"/>
  <c r="S21" i="3"/>
  <c r="Y21" i="3"/>
  <c r="AD21" i="3"/>
  <c r="S22" i="3"/>
  <c r="Y22" i="3"/>
  <c r="B24" i="3"/>
  <c r="S24" i="3"/>
  <c r="Y24" i="3"/>
  <c r="AD24" i="3"/>
  <c r="B26" i="3"/>
  <c r="B27" i="3"/>
  <c r="B29" i="3"/>
  <c r="B31" i="3"/>
  <c r="K31" i="3"/>
  <c r="M31" i="3"/>
  <c r="B32" i="3"/>
  <c r="K32" i="3"/>
  <c r="M32" i="3"/>
  <c r="S34" i="3"/>
  <c r="B36" i="3"/>
  <c r="S36" i="3"/>
  <c r="Z36" i="3"/>
  <c r="B37" i="3"/>
  <c r="Y38" i="3"/>
  <c r="AC38" i="3"/>
  <c r="Y43" i="3"/>
  <c r="AC43" i="3"/>
  <c r="S45" i="3"/>
  <c r="S47" i="3"/>
  <c r="S48" i="3"/>
  <c r="S49" i="3"/>
  <c r="K17" i="5" l="1"/>
  <c r="O12" i="5"/>
  <c r="C49" i="5"/>
  <c r="F9" i="5"/>
  <c r="F13" i="5"/>
  <c r="E13" i="5"/>
  <c r="F11" i="5"/>
  <c r="F8" i="5"/>
  <c r="K19" i="5"/>
  <c r="B61" i="3" s="1"/>
  <c r="I5" i="6"/>
  <c r="H33" i="5"/>
  <c r="L6" i="6" l="1"/>
  <c r="M6" i="6" s="1"/>
  <c r="L13" i="6"/>
  <c r="M13" i="6" s="1"/>
  <c r="AK37" i="3" s="1"/>
  <c r="L5" i="6"/>
  <c r="M5" i="6" s="1"/>
  <c r="L9" i="6"/>
  <c r="M9" i="6" s="1"/>
  <c r="L11" i="6"/>
  <c r="M11" i="6" s="1"/>
  <c r="L14" i="6"/>
  <c r="M14" i="6" s="1"/>
  <c r="L15" i="6"/>
  <c r="M15" i="6" s="1"/>
  <c r="L7" i="6"/>
  <c r="M7" i="6" s="1"/>
  <c r="L16" i="6"/>
  <c r="M16" i="6" s="1"/>
  <c r="AK42" i="3" s="1"/>
  <c r="L12" i="6"/>
  <c r="M12" i="6" s="1"/>
  <c r="L8" i="6"/>
  <c r="M8" i="6" s="1"/>
  <c r="L10" i="6"/>
  <c r="M10" i="6" s="1"/>
  <c r="K27" i="5"/>
  <c r="K28" i="5"/>
  <c r="G12" i="5"/>
  <c r="G13" i="5"/>
  <c r="G11" i="5"/>
  <c r="C13" i="5"/>
  <c r="C8" i="5"/>
  <c r="E8" i="5" s="1"/>
  <c r="C11" i="5"/>
  <c r="G9" i="5"/>
  <c r="C9" i="5"/>
  <c r="E9" i="5" s="1"/>
  <c r="C12" i="5"/>
  <c r="G8" i="5"/>
  <c r="AK45" i="3" l="1"/>
  <c r="F10" i="5" s="1"/>
  <c r="G10" i="5" s="1"/>
  <c r="O7" i="5"/>
  <c r="AK34" i="3" s="1"/>
  <c r="C7" i="5"/>
  <c r="F7" i="5"/>
  <c r="G7" i="5" l="1"/>
  <c r="F14" i="5"/>
  <c r="AK47" i="3"/>
  <c r="AK49" i="3" s="1"/>
  <c r="C10" i="5"/>
  <c r="C14" i="5" l="1"/>
  <c r="G14" i="5"/>
  <c r="D10" i="5" a="1"/>
  <c r="D8" i="5" a="1"/>
  <c r="D9" i="5" a="1"/>
  <c r="D11" i="5" a="1"/>
  <c r="D12" i="5" a="1"/>
  <c r="D14" i="5" a="1"/>
  <c r="D7" i="5" a="1"/>
  <c r="D13" i="5" a="1"/>
  <c r="D13" i="5" l="1"/>
  <c r="K13" i="5" s="1"/>
  <c r="M13" i="5" s="1"/>
  <c r="D11" i="5"/>
  <c r="K11" i="5" s="1"/>
  <c r="M11" i="5" s="1"/>
  <c r="D14" i="5"/>
  <c r="K14" i="5" s="1"/>
  <c r="L14" i="5" s="1"/>
  <c r="D12" i="5"/>
  <c r="K12" i="5" s="1"/>
  <c r="L12" i="5" s="1"/>
  <c r="D7" i="5"/>
  <c r="K7" i="5" s="1"/>
  <c r="M7" i="5" s="1"/>
  <c r="D8" i="5"/>
  <c r="K8" i="5" s="1"/>
  <c r="L8" i="5" s="1"/>
  <c r="D9" i="5"/>
  <c r="K9" i="5" s="1"/>
  <c r="L9" i="5" s="1"/>
  <c r="D10" i="5"/>
  <c r="K10" i="5" s="1"/>
  <c r="M10" i="5" s="1"/>
  <c r="L11" i="5" l="1"/>
  <c r="L13" i="5"/>
  <c r="M12" i="5"/>
  <c r="L7" i="5"/>
  <c r="M9" i="5"/>
  <c r="M14" i="5"/>
  <c r="M8" i="5"/>
  <c r="L10" i="5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Eddie Kvistgaard Skinneholm</author>
  </authors>
  <commentList>
    <comment ref="D49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  <comment ref="E49" authorId="0" shapeId="0" xr:uid="{00000000-0006-0000-0200-000002000000}">
      <text>
        <r>
          <rPr>
            <b/>
            <sz val="9"/>
            <color indexed="81"/>
            <rFont val="Tahoma"/>
            <family val="2"/>
          </rPr>
          <t>Eddie Kvistgaard Skinneholm:</t>
        </r>
        <r>
          <rPr>
            <sz val="9"/>
            <color indexed="81"/>
            <rFont val="Tahoma"/>
            <family val="2"/>
          </rPr>
          <t xml:space="preserve">
7/1-14 Styringen af opslagstabellen for Dagpengegodtgørelser ændres fra Hjemkomtår Rejseafregning!AF17) ændres til styring via Afrejseår (Rejseafregning!AF15).
Hvis Afrejseår (Rejseafregning!AF15) = År for dagpenge satser (Beregninger!D49) anvendes kolenne "D" hvis ikke anvendes kolonne "E" på fanebladet Beregninger
</t>
        </r>
      </text>
    </comment>
  </commentList>
</comments>
</file>

<file path=xl/sharedStrings.xml><?xml version="1.0" encoding="utf-8"?>
<sst xmlns="http://schemas.openxmlformats.org/spreadsheetml/2006/main" count="536" uniqueCount="254">
  <si>
    <t>Tjenesterejse</t>
  </si>
  <si>
    <t>-</t>
  </si>
  <si>
    <t>:</t>
  </si>
  <si>
    <t>Morgenmad</t>
  </si>
  <si>
    <t>Frokost</t>
  </si>
  <si>
    <t>Middag</t>
  </si>
  <si>
    <t>Total</t>
  </si>
  <si>
    <t>Aarhus Universitet</t>
  </si>
  <si>
    <t>DKK</t>
  </si>
  <si>
    <t>Belgien</t>
  </si>
  <si>
    <t>Bulgarien</t>
  </si>
  <si>
    <t>Cypern</t>
  </si>
  <si>
    <t>Estland</t>
  </si>
  <si>
    <t>Finland</t>
  </si>
  <si>
    <t>Frankrig</t>
  </si>
  <si>
    <t>Grækenland</t>
  </si>
  <si>
    <t>Grønland</t>
  </si>
  <si>
    <t>Holland</t>
  </si>
  <si>
    <t>Irland</t>
  </si>
  <si>
    <t>Island</t>
  </si>
  <si>
    <t>Italien</t>
  </si>
  <si>
    <t>Letland</t>
  </si>
  <si>
    <t>Litauen</t>
  </si>
  <si>
    <t>Luxembourg</t>
  </si>
  <si>
    <t>Norge</t>
  </si>
  <si>
    <t>Polen</t>
  </si>
  <si>
    <t>Portugal</t>
  </si>
  <si>
    <t>Rumænien</t>
  </si>
  <si>
    <t>Rusland</t>
  </si>
  <si>
    <t>Schweiz</t>
  </si>
  <si>
    <t>Slovakiet</t>
  </si>
  <si>
    <t>Spanien</t>
  </si>
  <si>
    <t>Storbritannien</t>
  </si>
  <si>
    <t>Sverige</t>
  </si>
  <si>
    <t>Tjekkiet</t>
  </si>
  <si>
    <t>Tyrkiet</t>
  </si>
  <si>
    <t>Tyskland</t>
  </si>
  <si>
    <t>Ukraine</t>
  </si>
  <si>
    <t>Ungarn</t>
  </si>
  <si>
    <t>Østrig</t>
  </si>
  <si>
    <t>Elfenbenskysten</t>
  </si>
  <si>
    <t>Kenya</t>
  </si>
  <si>
    <t>Marokko</t>
  </si>
  <si>
    <t>Mozambique</t>
  </si>
  <si>
    <t>Sydafrika</t>
  </si>
  <si>
    <t>Tanzania</t>
  </si>
  <si>
    <t>Tunesien</t>
  </si>
  <si>
    <t>Zambia</t>
  </si>
  <si>
    <t>Zimbabwe</t>
  </si>
  <si>
    <t>Argentina</t>
  </si>
  <si>
    <t>Bolivia</t>
  </si>
  <si>
    <t>Brasilien</t>
  </si>
  <si>
    <t>Canada</t>
  </si>
  <si>
    <t>Chile</t>
  </si>
  <si>
    <t>Colombia</t>
  </si>
  <si>
    <t>Cuba</t>
  </si>
  <si>
    <t>Mexico</t>
  </si>
  <si>
    <t>USA</t>
  </si>
  <si>
    <t>Venezuela</t>
  </si>
  <si>
    <t>Bangladesh</t>
  </si>
  <si>
    <t>Bhutan</t>
  </si>
  <si>
    <t>Filippinerne</t>
  </si>
  <si>
    <t>Indien</t>
  </si>
  <si>
    <t>Indonesien</t>
  </si>
  <si>
    <t>Iran</t>
  </si>
  <si>
    <t>Israel</t>
  </si>
  <si>
    <t>Japan</t>
  </si>
  <si>
    <t>Jordan</t>
  </si>
  <si>
    <t>Kina</t>
  </si>
  <si>
    <t>Kuwait</t>
  </si>
  <si>
    <t>Malaysia</t>
  </si>
  <si>
    <t>Nepal</t>
  </si>
  <si>
    <t>Oman</t>
  </si>
  <si>
    <t>Pakistan</t>
  </si>
  <si>
    <t>Qatar</t>
  </si>
  <si>
    <t>Singapore</t>
  </si>
  <si>
    <t>Syrien</t>
  </si>
  <si>
    <t>Thailand</t>
  </si>
  <si>
    <t>Australien</t>
  </si>
  <si>
    <t>Hong Kong</t>
  </si>
  <si>
    <t>New Zealand</t>
  </si>
  <si>
    <t>Land</t>
  </si>
  <si>
    <t>Danmark</t>
  </si>
  <si>
    <t>Udland</t>
  </si>
  <si>
    <t>Transportgodtgørelse, kr</t>
  </si>
  <si>
    <t>Måltid</t>
  </si>
  <si>
    <t>Udokumenteret nattillæg, kr</t>
  </si>
  <si>
    <t>Ureduceret sats</t>
  </si>
  <si>
    <t>Måltidsfradrag, % af dagpenge</t>
  </si>
  <si>
    <t>Type</t>
  </si>
  <si>
    <t>Dagpengegodtgørelse, kr</t>
  </si>
  <si>
    <t>Australia</t>
  </si>
  <si>
    <t xml:space="preserve">Austria </t>
  </si>
  <si>
    <t>Belgium</t>
  </si>
  <si>
    <t>Brazil</t>
  </si>
  <si>
    <t>Bulgaria</t>
  </si>
  <si>
    <t>China</t>
  </si>
  <si>
    <t>Côte d'Ivoire</t>
  </si>
  <si>
    <t>Cyprus</t>
  </si>
  <si>
    <t>Czech Republic</t>
  </si>
  <si>
    <t>Denmark</t>
  </si>
  <si>
    <t>Egypten</t>
  </si>
  <si>
    <t>Egypt, Arab Rep.</t>
  </si>
  <si>
    <t xml:space="preserve">Estonia </t>
  </si>
  <si>
    <t>France</t>
  </si>
  <si>
    <t>Germany</t>
  </si>
  <si>
    <t>Great Brittain</t>
  </si>
  <si>
    <t>Greece</t>
  </si>
  <si>
    <t>Greenland</t>
  </si>
  <si>
    <t>Hong Kong, China</t>
  </si>
  <si>
    <t>Hungary</t>
  </si>
  <si>
    <t>Iceland</t>
  </si>
  <si>
    <t>India</t>
  </si>
  <si>
    <t>Indonesia</t>
  </si>
  <si>
    <t>Iran, Islamic Rep.</t>
  </si>
  <si>
    <t>Ireland</t>
  </si>
  <si>
    <t>Italy</t>
  </si>
  <si>
    <t>Sydkorea</t>
  </si>
  <si>
    <t>Korea, Rep.</t>
  </si>
  <si>
    <t xml:space="preserve">Latvia </t>
  </si>
  <si>
    <t xml:space="preserve">Lithuania </t>
  </si>
  <si>
    <t>Morocco</t>
  </si>
  <si>
    <t>Netherlands</t>
  </si>
  <si>
    <t>Norway</t>
  </si>
  <si>
    <t>Philippines</t>
  </si>
  <si>
    <t>Poland</t>
  </si>
  <si>
    <t>Romania</t>
  </si>
  <si>
    <t xml:space="preserve">Russian Federation </t>
  </si>
  <si>
    <t>Saudi-Arabien</t>
  </si>
  <si>
    <t>Saudi Arabia</t>
  </si>
  <si>
    <t>Slovak Republic</t>
  </si>
  <si>
    <t>South Africa</t>
  </si>
  <si>
    <t>Spain</t>
  </si>
  <si>
    <t>Sweden</t>
  </si>
  <si>
    <t>Switzerland</t>
  </si>
  <si>
    <t>Syrian Arab Republic</t>
  </si>
  <si>
    <t xml:space="preserve">Tanzania </t>
  </si>
  <si>
    <t>Tunisia</t>
  </si>
  <si>
    <t>Turkey</t>
  </si>
  <si>
    <t xml:space="preserve">Ukraine </t>
  </si>
  <si>
    <t>Forenede Arabiske Emirater</t>
  </si>
  <si>
    <t>United Arab Emirates</t>
  </si>
  <si>
    <t>United States</t>
  </si>
  <si>
    <t>Venezuela, RB</t>
  </si>
  <si>
    <t>Andet land</t>
  </si>
  <si>
    <t>Other Country</t>
  </si>
  <si>
    <t>Country</t>
  </si>
  <si>
    <t>Satser</t>
  </si>
  <si>
    <t>C. Taxi:</t>
  </si>
  <si>
    <t>Brugte Konti</t>
  </si>
  <si>
    <t>3222-m</t>
  </si>
  <si>
    <t>3222-u</t>
  </si>
  <si>
    <t>Total i DKK</t>
  </si>
  <si>
    <t>Dansk</t>
  </si>
  <si>
    <t>English</t>
  </si>
  <si>
    <t>Email:</t>
  </si>
  <si>
    <t>(miles / 1,609 = km)</t>
  </si>
  <si>
    <t>Sprog/Language:</t>
  </si>
  <si>
    <t>Vælg / Pick</t>
  </si>
  <si>
    <t>DK</t>
  </si>
  <si>
    <t>Eng</t>
  </si>
  <si>
    <t>Navn:</t>
  </si>
  <si>
    <t>Ja</t>
  </si>
  <si>
    <t>Nej</t>
  </si>
  <si>
    <t>No</t>
  </si>
  <si>
    <t>Yes</t>
  </si>
  <si>
    <t>Fejl:</t>
  </si>
  <si>
    <t>Type:</t>
  </si>
  <si>
    <t>VLOOKUP værdi type</t>
  </si>
  <si>
    <t>Rejseafregning</t>
  </si>
  <si>
    <t>Forskud</t>
  </si>
  <si>
    <t>Travel Statement</t>
  </si>
  <si>
    <t>Advance</t>
  </si>
  <si>
    <t>værdi type true?</t>
  </si>
  <si>
    <t>Valuta 2</t>
  </si>
  <si>
    <t>Valuta 3</t>
  </si>
  <si>
    <t>Valuta værdi</t>
  </si>
  <si>
    <t>A</t>
  </si>
  <si>
    <t>B</t>
  </si>
  <si>
    <t>C</t>
  </si>
  <si>
    <t>D</t>
  </si>
  <si>
    <t>E</t>
  </si>
  <si>
    <t>F</t>
  </si>
  <si>
    <t>G</t>
  </si>
  <si>
    <t>H</t>
  </si>
  <si>
    <t>Veksel kurs</t>
  </si>
  <si>
    <t>Skal fremmed valuta benyttes</t>
  </si>
  <si>
    <t>Beregnet kurs</t>
  </si>
  <si>
    <t>Fejlsikret kurs</t>
  </si>
  <si>
    <t>SEK</t>
  </si>
  <si>
    <t>NOK</t>
  </si>
  <si>
    <t>GBP</t>
  </si>
  <si>
    <t>USD</t>
  </si>
  <si>
    <t>EUR</t>
  </si>
  <si>
    <t>Bil</t>
  </si>
  <si>
    <t>Time/dag</t>
  </si>
  <si>
    <t>Mad fradrag</t>
  </si>
  <si>
    <t>Udok</t>
  </si>
  <si>
    <t>Valutakoder</t>
  </si>
  <si>
    <t>AUD</t>
  </si>
  <si>
    <t>BGL</t>
  </si>
  <si>
    <t>CAD</t>
  </si>
  <si>
    <t>EEK</t>
  </si>
  <si>
    <t>PHP</t>
  </si>
  <si>
    <t>HKD</t>
  </si>
  <si>
    <t>IDR</t>
  </si>
  <si>
    <t>JPY</t>
  </si>
  <si>
    <t>CNY</t>
  </si>
  <si>
    <t>HRK</t>
  </si>
  <si>
    <t>LVL</t>
  </si>
  <si>
    <t>LTL</t>
  </si>
  <si>
    <t>MYR</t>
  </si>
  <si>
    <t>NZD</t>
  </si>
  <si>
    <t>PLN</t>
  </si>
  <si>
    <t>RON</t>
  </si>
  <si>
    <t>RUB</t>
  </si>
  <si>
    <t>CHF</t>
  </si>
  <si>
    <t>SGD</t>
  </si>
  <si>
    <t>ZAR</t>
  </si>
  <si>
    <t>KRW</t>
  </si>
  <si>
    <t>THB</t>
  </si>
  <si>
    <t>CZK</t>
  </si>
  <si>
    <t>TRY</t>
  </si>
  <si>
    <t>HUF</t>
  </si>
  <si>
    <t>Other</t>
  </si>
  <si>
    <t>Note: conversion into</t>
  </si>
  <si>
    <t>is done with the conversion rate</t>
  </si>
  <si>
    <t>=</t>
  </si>
  <si>
    <t>Set currency rate</t>
  </si>
  <si>
    <t>Time- dagepenge satser</t>
  </si>
  <si>
    <t>Advarsler:</t>
  </si>
  <si>
    <t>Engelsk</t>
  </si>
  <si>
    <t>Bemærk: der kan ikke udbetales både time/dag- penge og fortæringsudgifter</t>
  </si>
  <si>
    <t>Manglende valuta:</t>
  </si>
  <si>
    <t>Note: you cannot receive reimbursement for consumption as well as per diem</t>
  </si>
  <si>
    <t>Mad kurs</t>
  </si>
  <si>
    <t>ARTS</t>
  </si>
  <si>
    <t>HE</t>
  </si>
  <si>
    <t>BSS</t>
  </si>
  <si>
    <t>ADM</t>
  </si>
  <si>
    <t>NIS/ILS</t>
  </si>
  <si>
    <t>Værdien af Type:</t>
  </si>
  <si>
    <t>Currency:</t>
  </si>
  <si>
    <t>Bank name:</t>
  </si>
  <si>
    <t>Account:</t>
  </si>
  <si>
    <t>BIC/Swift code:</t>
  </si>
  <si>
    <t>IBAN No.:</t>
  </si>
  <si>
    <t>Sort code/ABA/
Routing/Fedwire:</t>
  </si>
  <si>
    <t>TS</t>
  </si>
  <si>
    <t>NS</t>
  </si>
  <si>
    <t>X</t>
  </si>
  <si>
    <t>Hvordan tilføjer du årstal.</t>
  </si>
  <si>
    <t>2025-sats</t>
  </si>
  <si>
    <t>2026-sats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</si>
</sst>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00&quot;:&quot;00"/>
    <numFmt numFmtId="165" formatCode="&quot;km at&quot;\ 0.00"/>
    <numFmt numFmtId="166" formatCode="00"/>
    <numFmt numFmtId="167" formatCode="&quot;km á&quot;\ #.##\ &quot;kr&quot;"/>
    <numFmt numFmtId="168" formatCode="&quot;á&quot;\ #.00\ &quot;kr&quot;"/>
    <numFmt numFmtId="169" formatCode="dd/mm/yy;@"/>
  </numFmts>
  <fonts count="28" x14ac:knownFonts="1">
    <font>
      <sz val="8"/>
      <name val="Verdana"/>
    </font>
    <font>
      <sz val="8"/>
      <name val="Verdana"/>
      <family val="2"/>
    </font>
    <font>
      <sz val="8"/>
      <name val="Verdana"/>
      <family val="2"/>
    </font>
    <font>
      <b/>
      <sz val="8"/>
      <name val="Verdana"/>
      <family val="2"/>
    </font>
    <font>
      <u/>
      <sz val="8"/>
      <color indexed="12"/>
      <name val="Verdana"/>
      <family val="2"/>
    </font>
    <font>
      <b/>
      <sz val="12"/>
      <name val="Verdana"/>
      <family val="2"/>
    </font>
    <font>
      <i/>
      <sz val="8"/>
      <name val="Verdana"/>
      <family val="2"/>
    </font>
    <font>
      <b/>
      <i/>
      <sz val="8"/>
      <name val="Verdana"/>
      <family val="2"/>
    </font>
    <font>
      <b/>
      <sz val="11"/>
      <name val="Verdana"/>
      <family val="2"/>
    </font>
    <font>
      <sz val="10"/>
      <name val="Verdana"/>
      <family val="2"/>
    </font>
    <font>
      <b/>
      <sz val="10"/>
      <name val="Verdana"/>
      <family val="2"/>
    </font>
    <font>
      <b/>
      <i/>
      <sz val="10"/>
      <name val="Verdana"/>
      <family val="2"/>
    </font>
    <font>
      <b/>
      <sz val="11"/>
      <name val="Arial"/>
      <family val="2"/>
    </font>
    <font>
      <sz val="8"/>
      <color indexed="9"/>
      <name val="Verdana"/>
      <family val="2"/>
    </font>
    <font>
      <sz val="8"/>
      <color indexed="9"/>
      <name val="Verdana"/>
      <family val="2"/>
    </font>
    <font>
      <sz val="10"/>
      <color indexed="9"/>
      <name val="Verdana"/>
      <family val="2"/>
    </font>
    <font>
      <b/>
      <i/>
      <sz val="10"/>
      <color indexed="9"/>
      <name val="Verdana"/>
      <family val="2"/>
    </font>
    <font>
      <sz val="8"/>
      <color theme="0"/>
      <name val="Verdana"/>
      <family val="2"/>
    </font>
    <font>
      <sz val="8"/>
      <color rgb="FFFF0000"/>
      <name val="Verdana"/>
      <family val="2"/>
    </font>
    <font>
      <sz val="10"/>
      <color theme="0"/>
      <name val="Verdana"/>
      <family val="2"/>
    </font>
    <font>
      <b/>
      <sz val="8"/>
      <color rgb="FFFF0000"/>
      <name val="Verdana"/>
      <family val="2"/>
    </font>
    <font>
      <sz val="9"/>
      <color rgb="FFFF0000"/>
      <name val="Verdana"/>
      <family val="2"/>
    </font>
    <font>
      <sz val="8"/>
      <color theme="0" tint="-0.249977111117893"/>
      <name val="Verdana"/>
      <family val="2"/>
    </font>
    <font>
      <b/>
      <i/>
      <sz val="10"/>
      <color theme="0"/>
      <name val="Arial"/>
      <family val="2"/>
    </font>
    <font>
      <sz val="8"/>
      <color theme="0"/>
      <name val="Arial"/>
      <family val="2"/>
    </font>
    <font>
      <sz val="10"/>
      <color rgb="FFFF0000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</fills>
  <borders count="4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55"/>
      </top>
      <bottom style="thin">
        <color indexed="64"/>
      </bottom>
      <diagonal/>
    </border>
    <border>
      <left/>
      <right style="thin">
        <color indexed="64"/>
      </right>
      <top style="thin">
        <color indexed="55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55"/>
      </bottom>
      <diagonal/>
    </border>
    <border>
      <left/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/>
      <bottom style="dotted">
        <color indexed="64"/>
      </bottom>
      <diagonal/>
    </border>
    <border>
      <left/>
      <right style="thin">
        <color indexed="64"/>
      </right>
      <top style="dotted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55"/>
      </top>
      <bottom/>
      <diagonal/>
    </border>
    <border>
      <left/>
      <right style="thin">
        <color indexed="64"/>
      </right>
      <top style="thin">
        <color indexed="55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55"/>
      </bottom>
      <diagonal/>
    </border>
    <border>
      <left/>
      <right style="thin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/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 style="thin">
        <color indexed="64"/>
      </right>
      <top style="thin">
        <color indexed="55"/>
      </top>
      <bottom style="thin">
        <color indexed="55"/>
      </bottom>
      <diagonal/>
    </border>
    <border>
      <left style="thin">
        <color indexed="64"/>
      </left>
      <right/>
      <top style="thin">
        <color indexed="55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55"/>
      </top>
      <bottom style="thin">
        <color indexed="55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55"/>
      </top>
      <bottom style="thin">
        <color indexed="55"/>
      </bottom>
      <diagonal/>
    </border>
    <border>
      <left/>
      <right style="medium">
        <color indexed="64"/>
      </right>
      <top style="thin">
        <color indexed="55"/>
      </top>
      <bottom style="thin">
        <color indexed="64"/>
      </bottom>
      <diagonal/>
    </border>
    <border>
      <left style="thin">
        <color indexed="64"/>
      </left>
      <right/>
      <top style="thin">
        <color indexed="22"/>
      </top>
      <bottom style="thin">
        <color indexed="55"/>
      </bottom>
      <diagonal/>
    </border>
    <border>
      <left/>
      <right/>
      <top style="thin">
        <color indexed="22"/>
      </top>
      <bottom style="thin">
        <color indexed="55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5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55"/>
      </bottom>
      <diagonal/>
    </border>
    <border>
      <left style="thin">
        <color indexed="64"/>
      </left>
      <right/>
      <top style="thin">
        <color theme="0" tint="-0.499984740745262"/>
      </top>
      <bottom style="thin">
        <color indexed="64"/>
      </bottom>
      <diagonal/>
    </border>
    <border>
      <left/>
      <right/>
      <top style="thin">
        <color theme="0" tint="-0.499984740745262"/>
      </top>
      <bottom style="thin">
        <color indexed="64"/>
      </bottom>
      <diagonal/>
    </border>
    <border>
      <left/>
      <right style="thin">
        <color indexed="64"/>
      </right>
      <top style="thin">
        <color theme="0" tint="-0.499984740745262"/>
      </top>
      <bottom style="thin">
        <color indexed="64"/>
      </bottom>
      <diagonal/>
    </border>
  </borders>
  <cellStyleXfs count="3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</cellStyleXfs>
  <cellXfs count="446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/>
    <xf numFmtId="0" fontId="13" fillId="0" borderId="0" xfId="0" applyFont="1" applyAlignment="1">
      <alignment vertical="center"/>
    </xf>
    <xf numFmtId="0" fontId="2" fillId="0" borderId="0" xfId="0" applyFont="1" applyProtection="1">
      <protection hidden="1"/>
    </xf>
    <xf numFmtId="0" fontId="2" fillId="0" borderId="0" xfId="0" applyFont="1" applyAlignment="1" applyProtection="1">
      <alignment vertical="center"/>
      <protection hidden="1"/>
    </xf>
    <xf numFmtId="4" fontId="2" fillId="0" borderId="0" xfId="0" applyNumberFormat="1" applyFont="1" applyAlignment="1">
      <alignment vertical="center"/>
    </xf>
    <xf numFmtId="0" fontId="2" fillId="0" borderId="0" xfId="0" applyFont="1" applyAlignment="1" applyProtection="1">
      <alignment horizontal="center" vertical="center"/>
      <protection hidden="1"/>
    </xf>
    <xf numFmtId="1" fontId="2" fillId="0" borderId="0" xfId="0" applyNumberFormat="1" applyFont="1" applyAlignment="1" applyProtection="1">
      <alignment vertical="center"/>
      <protection hidden="1"/>
    </xf>
    <xf numFmtId="4" fontId="2" fillId="0" borderId="0" xfId="0" applyNumberFormat="1" applyFont="1" applyAlignment="1" applyProtection="1">
      <alignment vertical="center"/>
      <protection hidden="1"/>
    </xf>
    <xf numFmtId="4" fontId="0" fillId="0" borderId="0" xfId="0" applyNumberFormat="1"/>
    <xf numFmtId="0" fontId="17" fillId="0" borderId="0" xfId="0" applyFont="1" applyAlignment="1">
      <alignment vertical="center"/>
    </xf>
    <xf numFmtId="0" fontId="17" fillId="0" borderId="0" xfId="0" applyFont="1"/>
    <xf numFmtId="0" fontId="18" fillId="0" borderId="0" xfId="0" applyFont="1" applyAlignment="1">
      <alignment vertical="center"/>
    </xf>
    <xf numFmtId="0" fontId="2" fillId="0" borderId="1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0" fillId="0" borderId="0" xfId="0" applyAlignment="1" applyProtection="1">
      <alignment vertical="center"/>
      <protection hidden="1"/>
    </xf>
    <xf numFmtId="0" fontId="10" fillId="0" borderId="0" xfId="0" applyFont="1" applyAlignment="1" applyProtection="1">
      <alignment horizontal="left"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0" fontId="2" fillId="0" borderId="4" xfId="0" applyFont="1" applyBorder="1" applyAlignment="1" applyProtection="1">
      <alignment horizontal="left" vertical="center"/>
      <protection locked="0" hidden="1"/>
    </xf>
    <xf numFmtId="0" fontId="2" fillId="0" borderId="5" xfId="0" applyFont="1" applyBorder="1" applyAlignment="1" applyProtection="1">
      <alignment horizontal="left" vertical="center"/>
      <protection locked="0" hidden="1"/>
    </xf>
    <xf numFmtId="14" fontId="2" fillId="0" borderId="6" xfId="0" quotePrefix="1" applyNumberFormat="1" applyFont="1" applyBorder="1" applyAlignment="1" applyProtection="1">
      <alignment horizontal="center" vertical="center"/>
      <protection hidden="1"/>
    </xf>
    <xf numFmtId="164" fontId="2" fillId="0" borderId="6" xfId="0" applyNumberFormat="1" applyFont="1" applyBorder="1" applyAlignment="1" applyProtection="1">
      <alignment horizontal="center" vertical="center"/>
      <protection hidden="1"/>
    </xf>
    <xf numFmtId="0" fontId="2" fillId="0" borderId="7" xfId="0" applyFont="1" applyBorder="1" applyAlignment="1" applyProtection="1">
      <alignment horizontal="left" vertical="center"/>
      <protection hidden="1"/>
    </xf>
    <xf numFmtId="0" fontId="2" fillId="0" borderId="1" xfId="0" applyFont="1" applyBorder="1" applyAlignment="1" applyProtection="1">
      <alignment vertical="center"/>
      <protection hidden="1"/>
    </xf>
    <xf numFmtId="0" fontId="2" fillId="0" borderId="2" xfId="0" applyFont="1" applyBorder="1" applyAlignment="1" applyProtection="1">
      <alignment vertical="center"/>
      <protection hidden="1"/>
    </xf>
    <xf numFmtId="0" fontId="3" fillId="0" borderId="7" xfId="0" applyFont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 vertical="top"/>
      <protection hidden="1"/>
    </xf>
    <xf numFmtId="0" fontId="3" fillId="0" borderId="8" xfId="0" applyFont="1" applyBorder="1" applyAlignment="1" applyProtection="1">
      <alignment horizontal="left" vertical="top"/>
      <protection hidden="1"/>
    </xf>
    <xf numFmtId="0" fontId="2" fillId="0" borderId="8" xfId="0" applyFont="1" applyBorder="1" applyAlignment="1" applyProtection="1">
      <alignment vertical="center"/>
      <protection hidden="1"/>
    </xf>
    <xf numFmtId="0" fontId="2" fillId="0" borderId="9" xfId="0" applyFont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13" fillId="0" borderId="3" xfId="0" applyFont="1" applyBorder="1" applyAlignment="1" applyProtection="1">
      <alignment horizontal="left" vertical="center"/>
      <protection locked="0" hidden="1"/>
    </xf>
    <xf numFmtId="0" fontId="6" fillId="0" borderId="3" xfId="0" applyFont="1" applyBorder="1" applyAlignment="1" applyProtection="1">
      <alignment horizontal="left" vertical="center"/>
      <protection hidden="1"/>
    </xf>
    <xf numFmtId="0" fontId="6" fillId="0" borderId="3" xfId="0" applyFont="1" applyBorder="1" applyAlignment="1" applyProtection="1">
      <alignment horizontal="left" vertical="center"/>
      <protection locked="0" hidden="1"/>
    </xf>
    <xf numFmtId="0" fontId="0" fillId="0" borderId="6" xfId="0" applyBorder="1" applyAlignment="1" applyProtection="1">
      <alignment horizontal="left" vertical="center"/>
      <protection hidden="1"/>
    </xf>
    <xf numFmtId="0" fontId="13" fillId="0" borderId="6" xfId="0" applyFont="1" applyBorder="1" applyAlignment="1" applyProtection="1">
      <alignment horizontal="left" vertical="center"/>
      <protection locked="0" hidden="1"/>
    </xf>
    <xf numFmtId="0" fontId="6" fillId="0" borderId="6" xfId="0" applyFont="1" applyBorder="1" applyAlignment="1" applyProtection="1">
      <alignment horizontal="left" vertical="center"/>
      <protection hidden="1"/>
    </xf>
    <xf numFmtId="0" fontId="2" fillId="0" borderId="6" xfId="0" applyFont="1" applyBorder="1" applyAlignment="1" applyProtection="1">
      <alignment horizontal="left" vertical="center"/>
      <protection locked="0" hidden="1"/>
    </xf>
    <xf numFmtId="0" fontId="6" fillId="0" borderId="2" xfId="0" applyFont="1" applyBorder="1" applyAlignment="1" applyProtection="1">
      <alignment horizontal="center" vertical="center"/>
      <protection hidden="1"/>
    </xf>
    <xf numFmtId="167" fontId="2" fillId="0" borderId="3" xfId="0" applyNumberFormat="1" applyFont="1" applyBorder="1" applyAlignment="1" applyProtection="1">
      <alignment vertical="center"/>
      <protection hidden="1"/>
    </xf>
    <xf numFmtId="165" fontId="2" fillId="0" borderId="3" xfId="0" applyNumberFormat="1" applyFont="1" applyBorder="1" applyAlignment="1" applyProtection="1">
      <alignment vertical="center"/>
      <protection hidden="1"/>
    </xf>
    <xf numFmtId="167" fontId="2" fillId="0" borderId="0" xfId="0" applyNumberFormat="1" applyFont="1" applyAlignment="1" applyProtection="1">
      <alignment horizontal="center" vertical="center"/>
      <protection hidden="1"/>
    </xf>
    <xf numFmtId="167" fontId="2" fillId="0" borderId="7" xfId="0" applyNumberFormat="1" applyFont="1" applyBorder="1" applyAlignment="1" applyProtection="1">
      <alignment vertical="center"/>
      <protection hidden="1"/>
    </xf>
    <xf numFmtId="165" fontId="2" fillId="0" borderId="0" xfId="0" applyNumberFormat="1" applyFont="1" applyAlignment="1" applyProtection="1">
      <alignment vertical="center"/>
      <protection hidden="1"/>
    </xf>
    <xf numFmtId="168" fontId="0" fillId="0" borderId="11" xfId="0" applyNumberFormat="1" applyBorder="1" applyAlignment="1" applyProtection="1">
      <alignment vertical="center"/>
      <protection hidden="1"/>
    </xf>
    <xf numFmtId="0" fontId="2" fillId="0" borderId="11" xfId="0" applyFont="1" applyBorder="1" applyAlignment="1" applyProtection="1">
      <alignment vertical="center"/>
      <protection hidden="1"/>
    </xf>
    <xf numFmtId="168" fontId="0" fillId="0" borderId="6" xfId="0" applyNumberFormat="1" applyBorder="1" applyAlignment="1" applyProtection="1">
      <alignment vertical="center"/>
      <protection hidden="1"/>
    </xf>
    <xf numFmtId="0" fontId="2" fillId="0" borderId="6" xfId="0" applyFont="1" applyBorder="1" applyAlignment="1" applyProtection="1">
      <alignment vertical="center"/>
      <protection hidden="1"/>
    </xf>
    <xf numFmtId="0" fontId="2" fillId="0" borderId="1" xfId="0" applyFont="1" applyBorder="1" applyAlignment="1" applyProtection="1">
      <alignment horizontal="right" vertical="center"/>
      <protection hidden="1"/>
    </xf>
    <xf numFmtId="0" fontId="10" fillId="0" borderId="0" xfId="0" applyFont="1" applyAlignment="1" applyProtection="1">
      <alignment vertical="center"/>
      <protection hidden="1"/>
    </xf>
    <xf numFmtId="0" fontId="3" fillId="0" borderId="0" xfId="0" applyFont="1"/>
    <xf numFmtId="0" fontId="10" fillId="0" borderId="0" xfId="0" applyFont="1" applyAlignment="1">
      <alignment vertical="center"/>
    </xf>
    <xf numFmtId="0" fontId="6" fillId="0" borderId="13" xfId="0" applyFont="1" applyBorder="1" applyAlignment="1" applyProtection="1">
      <alignment horizontal="right" vertical="top" indent="1"/>
      <protection hidden="1"/>
    </xf>
    <xf numFmtId="0" fontId="6" fillId="0" borderId="0" xfId="0" applyFont="1" applyAlignment="1" applyProtection="1">
      <alignment horizontal="right" vertical="top" indent="1"/>
      <protection hidden="1"/>
    </xf>
    <xf numFmtId="0" fontId="6" fillId="0" borderId="8" xfId="0" applyFont="1" applyBorder="1" applyAlignment="1" applyProtection="1">
      <alignment horizontal="right" vertical="top" indent="1"/>
      <protection hidden="1"/>
    </xf>
    <xf numFmtId="0" fontId="6" fillId="0" borderId="14" xfId="0" applyFont="1" applyBorder="1" applyAlignment="1" applyProtection="1">
      <alignment horizontal="center" vertical="top"/>
      <protection hidden="1"/>
    </xf>
    <xf numFmtId="0" fontId="14" fillId="0" borderId="0" xfId="0" applyFont="1" applyProtection="1">
      <protection hidden="1"/>
    </xf>
    <xf numFmtId="0" fontId="5" fillId="0" borderId="0" xfId="0" applyFont="1" applyAlignment="1" applyProtection="1">
      <alignment vertical="center"/>
      <protection hidden="1"/>
    </xf>
    <xf numFmtId="0" fontId="0" fillId="0" borderId="0" xfId="0" applyProtection="1">
      <protection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left"/>
      <protection hidden="1"/>
    </xf>
    <xf numFmtId="0" fontId="0" fillId="0" borderId="8" xfId="0" applyBorder="1" applyProtection="1">
      <protection hidden="1"/>
    </xf>
    <xf numFmtId="0" fontId="10" fillId="0" borderId="1" xfId="0" applyFont="1" applyBorder="1" applyProtection="1">
      <protection hidden="1"/>
    </xf>
    <xf numFmtId="0" fontId="10" fillId="0" borderId="2" xfId="0" applyFont="1" applyBorder="1" applyProtection="1">
      <protection hidden="1"/>
    </xf>
    <xf numFmtId="0" fontId="10" fillId="0" borderId="12" xfId="0" applyFont="1" applyBorder="1" applyAlignment="1" applyProtection="1">
      <alignment horizontal="right"/>
      <protection hidden="1"/>
    </xf>
    <xf numFmtId="0" fontId="10" fillId="0" borderId="6" xfId="0" applyFont="1" applyBorder="1" applyProtection="1">
      <protection hidden="1"/>
    </xf>
    <xf numFmtId="0" fontId="10" fillId="0" borderId="6" xfId="0" applyFont="1" applyBorder="1" applyAlignment="1" applyProtection="1">
      <alignment horizontal="right"/>
      <protection hidden="1"/>
    </xf>
    <xf numFmtId="0" fontId="10" fillId="0" borderId="7" xfId="0" applyFont="1" applyBorder="1" applyProtection="1">
      <protection hidden="1"/>
    </xf>
    <xf numFmtId="0" fontId="10" fillId="0" borderId="0" xfId="0" applyFont="1" applyProtection="1">
      <protection hidden="1"/>
    </xf>
    <xf numFmtId="0" fontId="10" fillId="0" borderId="0" xfId="0" applyFont="1" applyAlignment="1" applyProtection="1">
      <alignment horizontal="right"/>
      <protection hidden="1"/>
    </xf>
    <xf numFmtId="0" fontId="10" fillId="0" borderId="8" xfId="0" applyFont="1" applyBorder="1" applyAlignment="1" applyProtection="1">
      <alignment horizontal="right"/>
      <protection hidden="1"/>
    </xf>
    <xf numFmtId="0" fontId="9" fillId="0" borderId="7" xfId="0" applyFont="1" applyBorder="1" applyProtection="1">
      <protection hidden="1"/>
    </xf>
    <xf numFmtId="0" fontId="9" fillId="0" borderId="0" xfId="0" applyFont="1" applyProtection="1">
      <protection hidden="1"/>
    </xf>
    <xf numFmtId="3" fontId="9" fillId="0" borderId="8" xfId="0" applyNumberFormat="1" applyFont="1" applyBorder="1" applyProtection="1">
      <protection hidden="1"/>
    </xf>
    <xf numFmtId="0" fontId="9" fillId="0" borderId="15" xfId="0" applyFont="1" applyBorder="1" applyProtection="1">
      <protection hidden="1"/>
    </xf>
    <xf numFmtId="4" fontId="9" fillId="0" borderId="3" xfId="0" applyNumberFormat="1" applyFont="1" applyBorder="1" applyProtection="1">
      <protection hidden="1"/>
    </xf>
    <xf numFmtId="0" fontId="9" fillId="0" borderId="16" xfId="0" applyFont="1" applyBorder="1" applyProtection="1">
      <protection hidden="1"/>
    </xf>
    <xf numFmtId="4" fontId="9" fillId="0" borderId="6" xfId="0" applyNumberFormat="1" applyFont="1" applyBorder="1" applyProtection="1">
      <protection hidden="1"/>
    </xf>
    <xf numFmtId="0" fontId="9" fillId="0" borderId="18" xfId="0" applyFont="1" applyBorder="1" applyProtection="1">
      <protection hidden="1"/>
    </xf>
    <xf numFmtId="0" fontId="9" fillId="0" borderId="19" xfId="0" applyFont="1" applyBorder="1" applyProtection="1">
      <protection hidden="1"/>
    </xf>
    <xf numFmtId="3" fontId="9" fillId="0" borderId="20" xfId="0" applyNumberFormat="1" applyFont="1" applyBorder="1" applyProtection="1">
      <protection hidden="1"/>
    </xf>
    <xf numFmtId="9" fontId="9" fillId="0" borderId="3" xfId="2" applyFont="1" applyBorder="1" applyProtection="1">
      <protection hidden="1"/>
    </xf>
    <xf numFmtId="9" fontId="9" fillId="0" borderId="14" xfId="2" applyFont="1" applyBorder="1" applyProtection="1">
      <protection hidden="1"/>
    </xf>
    <xf numFmtId="9" fontId="9" fillId="0" borderId="0" xfId="2" applyFont="1" applyBorder="1" applyProtection="1">
      <protection hidden="1"/>
    </xf>
    <xf numFmtId="9" fontId="9" fillId="0" borderId="8" xfId="2" applyFont="1" applyBorder="1" applyProtection="1">
      <protection hidden="1"/>
    </xf>
    <xf numFmtId="9" fontId="9" fillId="0" borderId="6" xfId="2" applyFont="1" applyBorder="1" applyProtection="1">
      <protection hidden="1"/>
    </xf>
    <xf numFmtId="9" fontId="9" fillId="0" borderId="17" xfId="2" applyFont="1" applyBorder="1" applyProtection="1">
      <protection hidden="1"/>
    </xf>
    <xf numFmtId="0" fontId="9" fillId="0" borderId="1" xfId="0" applyFont="1" applyBorder="1" applyProtection="1">
      <protection hidden="1"/>
    </xf>
    <xf numFmtId="4" fontId="9" fillId="0" borderId="2" xfId="0" applyNumberFormat="1" applyFont="1" applyBorder="1" applyProtection="1">
      <protection hidden="1"/>
    </xf>
    <xf numFmtId="4" fontId="9" fillId="0" borderId="12" xfId="0" applyNumberFormat="1" applyFont="1" applyBorder="1" applyProtection="1">
      <protection hidden="1"/>
    </xf>
    <xf numFmtId="0" fontId="11" fillId="0" borderId="7" xfId="0" applyFont="1" applyBorder="1" applyProtection="1">
      <protection hidden="1"/>
    </xf>
    <xf numFmtId="0" fontId="11" fillId="0" borderId="0" xfId="0" applyFont="1" applyProtection="1">
      <protection hidden="1"/>
    </xf>
    <xf numFmtId="3" fontId="11" fillId="0" borderId="17" xfId="0" applyNumberFormat="1" applyFont="1" applyBorder="1" applyProtection="1">
      <protection hidden="1"/>
    </xf>
    <xf numFmtId="0" fontId="15" fillId="0" borderId="3" xfId="0" applyFont="1" applyBorder="1" applyProtection="1">
      <protection hidden="1"/>
    </xf>
    <xf numFmtId="0" fontId="15" fillId="0" borderId="0" xfId="0" applyFont="1" applyProtection="1">
      <protection hidden="1"/>
    </xf>
    <xf numFmtId="0" fontId="16" fillId="0" borderId="0" xfId="0" applyFont="1" applyProtection="1">
      <protection hidden="1"/>
    </xf>
    <xf numFmtId="0" fontId="6" fillId="0" borderId="12" xfId="0" applyFont="1" applyBorder="1" applyAlignment="1" applyProtection="1">
      <alignment horizontal="center" vertical="top"/>
      <protection hidden="1"/>
    </xf>
    <xf numFmtId="0" fontId="0" fillId="0" borderId="15" xfId="0" applyBorder="1"/>
    <xf numFmtId="0" fontId="0" fillId="0" borderId="3" xfId="0" applyBorder="1"/>
    <xf numFmtId="0" fontId="2" fillId="0" borderId="3" xfId="0" applyFont="1" applyBorder="1"/>
    <xf numFmtId="0" fontId="0" fillId="0" borderId="14" xfId="0" applyBorder="1"/>
    <xf numFmtId="0" fontId="2" fillId="0" borderId="7" xfId="0" applyFont="1" applyBorder="1"/>
    <xf numFmtId="0" fontId="0" fillId="0" borderId="8" xfId="0" applyBorder="1"/>
    <xf numFmtId="0" fontId="0" fillId="0" borderId="16" xfId="0" applyBorder="1"/>
    <xf numFmtId="0" fontId="0" fillId="0" borderId="6" xfId="0" applyBorder="1"/>
    <xf numFmtId="0" fontId="0" fillId="0" borderId="17" xfId="0" applyBorder="1"/>
    <xf numFmtId="0" fontId="0" fillId="0" borderId="6" xfId="0" applyBorder="1" applyAlignment="1" applyProtection="1">
      <alignment horizontal="center" vertical="center"/>
      <protection hidden="1"/>
    </xf>
    <xf numFmtId="0" fontId="17" fillId="0" borderId="6" xfId="0" applyFont="1" applyBorder="1" applyAlignment="1" applyProtection="1">
      <alignment horizontal="center" vertical="center"/>
      <protection hidden="1"/>
    </xf>
    <xf numFmtId="0" fontId="17" fillId="0" borderId="6" xfId="0" applyFont="1" applyBorder="1" applyAlignment="1" applyProtection="1">
      <alignment horizontal="left" vertical="center"/>
      <protection hidden="1"/>
    </xf>
    <xf numFmtId="0" fontId="17" fillId="0" borderId="6" xfId="0" applyFont="1" applyBorder="1" applyAlignment="1" applyProtection="1">
      <alignment horizontal="right" vertical="center"/>
      <protection hidden="1"/>
    </xf>
    <xf numFmtId="3" fontId="9" fillId="0" borderId="21" xfId="0" applyNumberFormat="1" applyFont="1" applyBorder="1" applyProtection="1">
      <protection hidden="1"/>
    </xf>
    <xf numFmtId="3" fontId="19" fillId="0" borderId="0" xfId="0" applyNumberFormat="1" applyFont="1" applyProtection="1">
      <protection hidden="1"/>
    </xf>
    <xf numFmtId="0" fontId="0" fillId="0" borderId="8" xfId="0" applyBorder="1" applyAlignment="1" applyProtection="1">
      <alignment vertical="center"/>
      <protection hidden="1"/>
    </xf>
    <xf numFmtId="0" fontId="20" fillId="0" borderId="3" xfId="0" applyFont="1" applyBorder="1" applyAlignment="1" applyProtection="1">
      <alignment vertical="center"/>
      <protection hidden="1"/>
    </xf>
    <xf numFmtId="0" fontId="3" fillId="0" borderId="3" xfId="0" applyFont="1" applyBorder="1" applyAlignment="1" applyProtection="1">
      <alignment vertical="center"/>
      <protection hidden="1"/>
    </xf>
    <xf numFmtId="0" fontId="3" fillId="0" borderId="14" xfId="0" applyFont="1" applyBorder="1" applyAlignment="1" applyProtection="1">
      <alignment vertical="center"/>
      <protection hidden="1"/>
    </xf>
    <xf numFmtId="166" fontId="0" fillId="3" borderId="6" xfId="0" applyNumberFormat="1" applyFill="1" applyBorder="1" applyAlignment="1" applyProtection="1">
      <alignment horizontal="center" vertical="center"/>
      <protection locked="0" hidden="1"/>
    </xf>
    <xf numFmtId="166" fontId="0" fillId="3" borderId="17" xfId="0" applyNumberFormat="1" applyFill="1" applyBorder="1" applyAlignment="1" applyProtection="1">
      <alignment horizontal="left" vertical="center"/>
      <protection locked="0" hidden="1"/>
    </xf>
    <xf numFmtId="0" fontId="0" fillId="3" borderId="12" xfId="0" applyFill="1" applyBorder="1" applyAlignment="1" applyProtection="1">
      <alignment vertical="center"/>
      <protection locked="0" hidden="1"/>
    </xf>
    <xf numFmtId="0" fontId="0" fillId="3" borderId="22" xfId="0" applyFill="1" applyBorder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hidden="1"/>
    </xf>
    <xf numFmtId="0" fontId="1" fillId="0" borderId="0" xfId="0" applyFont="1"/>
    <xf numFmtId="0" fontId="0" fillId="0" borderId="8" xfId="0" applyBorder="1" applyAlignment="1">
      <alignment vertical="center"/>
    </xf>
    <xf numFmtId="0" fontId="0" fillId="0" borderId="7" xfId="0" applyBorder="1" applyAlignment="1" applyProtection="1">
      <alignment vertical="center"/>
      <protection hidden="1"/>
    </xf>
    <xf numFmtId="0" fontId="0" fillId="0" borderId="7" xfId="0" applyBorder="1" applyAlignment="1">
      <alignment vertical="center"/>
    </xf>
    <xf numFmtId="0" fontId="2" fillId="0" borderId="6" xfId="0" applyFont="1" applyBorder="1" applyAlignment="1" applyProtection="1">
      <alignment horizontal="center" vertical="center"/>
      <protection hidden="1"/>
    </xf>
    <xf numFmtId="0" fontId="6" fillId="0" borderId="3" xfId="0" applyFont="1" applyBorder="1" applyAlignment="1" applyProtection="1">
      <alignment horizontal="center" vertical="top"/>
      <protection hidden="1"/>
    </xf>
    <xf numFmtId="3" fontId="10" fillId="0" borderId="17" xfId="0" applyNumberFormat="1" applyFont="1" applyBorder="1" applyProtection="1">
      <protection hidden="1"/>
    </xf>
    <xf numFmtId="0" fontId="1" fillId="0" borderId="19" xfId="0" applyFont="1" applyBorder="1" applyAlignment="1" applyProtection="1">
      <alignment horizontal="right"/>
      <protection hidden="1"/>
    </xf>
    <xf numFmtId="3" fontId="25" fillId="0" borderId="8" xfId="0" applyNumberFormat="1" applyFont="1" applyBorder="1" applyProtection="1">
      <protection hidden="1"/>
    </xf>
    <xf numFmtId="3" fontId="25" fillId="0" borderId="20" xfId="0" applyNumberFormat="1" applyFont="1" applyBorder="1" applyProtection="1">
      <protection hidden="1"/>
    </xf>
    <xf numFmtId="3" fontId="25" fillId="0" borderId="21" xfId="0" applyNumberFormat="1" applyFont="1" applyBorder="1" applyProtection="1">
      <protection hidden="1"/>
    </xf>
    <xf numFmtId="3" fontId="25" fillId="0" borderId="17" xfId="0" applyNumberFormat="1" applyFont="1" applyBorder="1" applyProtection="1">
      <protection hidden="1"/>
    </xf>
    <xf numFmtId="0" fontId="11" fillId="0" borderId="16" xfId="0" applyFont="1" applyBorder="1" applyProtection="1">
      <protection hidden="1"/>
    </xf>
    <xf numFmtId="3" fontId="9" fillId="0" borderId="17" xfId="0" applyNumberFormat="1" applyFont="1" applyBorder="1" applyProtection="1">
      <protection hidden="1"/>
    </xf>
    <xf numFmtId="0" fontId="2" fillId="0" borderId="28" xfId="0" applyFont="1" applyBorder="1" applyAlignment="1" applyProtection="1">
      <alignment vertical="center"/>
      <protection hidden="1"/>
    </xf>
    <xf numFmtId="0" fontId="2" fillId="0" borderId="10" xfId="0" applyFont="1" applyBorder="1" applyAlignment="1" applyProtection="1">
      <alignment vertical="center"/>
      <protection hidden="1"/>
    </xf>
    <xf numFmtId="14" fontId="1" fillId="0" borderId="6" xfId="0" quotePrefix="1" applyNumberFormat="1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left" vertical="center"/>
      <protection hidden="1"/>
    </xf>
    <xf numFmtId="0" fontId="1" fillId="0" borderId="0" xfId="0" applyFont="1" applyAlignment="1" applyProtection="1">
      <alignment vertical="center"/>
      <protection hidden="1"/>
    </xf>
    <xf numFmtId="0" fontId="0" fillId="0" borderId="7" xfId="0" applyBorder="1" applyAlignment="1" applyProtection="1">
      <alignment horizontal="center" vertical="center"/>
      <protection hidden="1"/>
    </xf>
    <xf numFmtId="0" fontId="1" fillId="0" borderId="0" xfId="0" applyFont="1" applyProtection="1">
      <protection hidden="1"/>
    </xf>
    <xf numFmtId="0" fontId="5" fillId="0" borderId="0" xfId="0" applyFont="1" applyAlignment="1" applyProtection="1">
      <alignment horizontal="left" vertical="center"/>
      <protection hidden="1"/>
    </xf>
    <xf numFmtId="0" fontId="12" fillId="2" borderId="0" xfId="0" applyFont="1" applyFill="1" applyAlignment="1" applyProtection="1">
      <alignment horizontal="center"/>
      <protection hidden="1"/>
    </xf>
    <xf numFmtId="3" fontId="9" fillId="0" borderId="0" xfId="0" applyNumberFormat="1" applyFont="1" applyProtection="1">
      <protection hidden="1"/>
    </xf>
    <xf numFmtId="3" fontId="11" fillId="0" borderId="0" xfId="0" applyNumberFormat="1" applyFont="1" applyProtection="1">
      <protection hidden="1"/>
    </xf>
    <xf numFmtId="0" fontId="2" fillId="0" borderId="16" xfId="0" applyFont="1" applyBorder="1" applyAlignment="1" applyProtection="1">
      <alignment horizontal="center" vertical="center"/>
      <protection hidden="1"/>
    </xf>
    <xf numFmtId="0" fontId="2" fillId="0" borderId="6" xfId="0" applyFont="1" applyBorder="1" applyAlignment="1" applyProtection="1">
      <alignment horizontal="center" vertical="center"/>
      <protection hidden="1"/>
    </xf>
    <xf numFmtId="0" fontId="2" fillId="0" borderId="17" xfId="0" applyFont="1" applyBorder="1" applyAlignment="1" applyProtection="1">
      <alignment horizontal="center" vertical="center"/>
      <protection hidden="1"/>
    </xf>
    <xf numFmtId="0" fontId="2" fillId="0" borderId="25" xfId="0" applyFont="1" applyBorder="1" applyAlignment="1" applyProtection="1">
      <alignment horizontal="center" vertical="center"/>
      <protection hidden="1"/>
    </xf>
    <xf numFmtId="2" fontId="2" fillId="0" borderId="1" xfId="0" applyNumberFormat="1" applyFont="1" applyBorder="1" applyAlignment="1" applyProtection="1">
      <alignment horizontal="center" vertical="center"/>
      <protection locked="0" hidden="1"/>
    </xf>
    <xf numFmtId="2" fontId="2" fillId="0" borderId="2" xfId="0" applyNumberFormat="1" applyFont="1" applyBorder="1" applyAlignment="1" applyProtection="1">
      <alignment horizontal="center" vertical="center"/>
      <protection locked="0" hidden="1"/>
    </xf>
    <xf numFmtId="2" fontId="2" fillId="0" borderId="12" xfId="0" applyNumberFormat="1" applyFont="1" applyBorder="1" applyAlignment="1" applyProtection="1">
      <alignment horizontal="center" vertical="center"/>
      <protection locked="0" hidden="1"/>
    </xf>
    <xf numFmtId="0" fontId="17" fillId="0" borderId="6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locked="0" hidden="1"/>
    </xf>
    <xf numFmtId="0" fontId="2" fillId="0" borderId="12" xfId="0" applyFont="1" applyBorder="1" applyAlignment="1" applyProtection="1">
      <alignment horizontal="center" vertical="center"/>
      <protection locked="0" hidden="1"/>
    </xf>
    <xf numFmtId="1" fontId="2" fillId="0" borderId="2" xfId="0" applyNumberFormat="1" applyFont="1" applyBorder="1" applyAlignment="1" applyProtection="1">
      <alignment horizontal="center" vertical="center"/>
      <protection hidden="1"/>
    </xf>
    <xf numFmtId="0" fontId="2" fillId="0" borderId="12" xfId="0" applyFont="1" applyBorder="1" applyProtection="1">
      <protection hidden="1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horizontal="center" vertical="center"/>
      <protection hidden="1"/>
    </xf>
    <xf numFmtId="0" fontId="7" fillId="0" borderId="7" xfId="0" applyFont="1" applyBorder="1" applyAlignment="1" applyProtection="1">
      <alignment horizontal="center" vertical="center"/>
      <protection hidden="1"/>
    </xf>
    <xf numFmtId="0" fontId="7" fillId="0" borderId="0" xfId="0" applyFont="1" applyAlignment="1" applyProtection="1">
      <alignment horizontal="center" vertical="center"/>
      <protection hidden="1"/>
    </xf>
    <xf numFmtId="0" fontId="7" fillId="0" borderId="8" xfId="0" applyFont="1" applyBorder="1" applyAlignment="1" applyProtection="1">
      <alignment horizontal="center" vertical="center"/>
      <protection hidden="1"/>
    </xf>
    <xf numFmtId="0" fontId="7" fillId="0" borderId="16" xfId="0" applyFont="1" applyBorder="1" applyAlignment="1" applyProtection="1">
      <alignment horizontal="center" vertical="center"/>
      <protection hidden="1"/>
    </xf>
    <xf numFmtId="0" fontId="7" fillId="0" borderId="6" xfId="0" applyFont="1" applyBorder="1" applyAlignment="1" applyProtection="1">
      <alignment horizontal="center" vertical="center"/>
      <protection hidden="1"/>
    </xf>
    <xf numFmtId="0" fontId="7" fillId="0" borderId="17" xfId="0" applyFont="1" applyBorder="1" applyAlignment="1" applyProtection="1">
      <alignment horizontal="center" vertical="center"/>
      <protection hidden="1"/>
    </xf>
    <xf numFmtId="4" fontId="0" fillId="0" borderId="32" xfId="0" applyNumberFormat="1" applyBorder="1" applyAlignment="1" applyProtection="1">
      <alignment horizontal="right" vertical="center"/>
      <protection hidden="1"/>
    </xf>
    <xf numFmtId="4" fontId="0" fillId="0" borderId="3" xfId="0" applyNumberFormat="1" applyBorder="1" applyAlignment="1" applyProtection="1">
      <alignment horizontal="right" vertical="center"/>
      <protection hidden="1"/>
    </xf>
    <xf numFmtId="4" fontId="0" fillId="0" borderId="14" xfId="0" applyNumberFormat="1" applyBorder="1" applyAlignment="1" applyProtection="1">
      <alignment horizontal="right" vertical="center"/>
      <protection hidden="1"/>
    </xf>
    <xf numFmtId="0" fontId="2" fillId="0" borderId="7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vertical="center"/>
      <protection hidden="1"/>
    </xf>
    <xf numFmtId="4" fontId="0" fillId="0" borderId="33" xfId="0" applyNumberFormat="1" applyBorder="1" applyAlignment="1" applyProtection="1">
      <alignment horizontal="right" vertical="center"/>
      <protection locked="0"/>
    </xf>
    <xf numFmtId="4" fontId="0" fillId="0" borderId="29" xfId="0" applyNumberFormat="1" applyBorder="1" applyAlignment="1" applyProtection="1">
      <alignment horizontal="right" vertical="center"/>
      <protection locked="0"/>
    </xf>
    <xf numFmtId="4" fontId="0" fillId="0" borderId="35" xfId="0" applyNumberFormat="1" applyBorder="1" applyAlignment="1" applyProtection="1">
      <alignment horizontal="right" vertical="center"/>
      <protection locked="0"/>
    </xf>
    <xf numFmtId="166" fontId="0" fillId="3" borderId="16" xfId="0" applyNumberFormat="1" applyFill="1" applyBorder="1" applyAlignment="1" applyProtection="1">
      <alignment horizontal="right" vertical="center"/>
      <protection locked="0" hidden="1"/>
    </xf>
    <xf numFmtId="166" fontId="0" fillId="3" borderId="6" xfId="0" applyNumberFormat="1" applyFill="1" applyBorder="1" applyAlignment="1" applyProtection="1">
      <alignment horizontal="right" vertical="center"/>
      <protection locked="0" hidden="1"/>
    </xf>
    <xf numFmtId="0" fontId="3" fillId="0" borderId="15" xfId="0" applyFont="1" applyBorder="1" applyAlignment="1" applyProtection="1">
      <alignment horizontal="left" vertical="center"/>
      <protection hidden="1"/>
    </xf>
    <xf numFmtId="0" fontId="3" fillId="0" borderId="3" xfId="0" applyFont="1" applyBorder="1" applyAlignment="1" applyProtection="1">
      <alignment horizontal="left" vertical="center"/>
      <protection hidden="1"/>
    </xf>
    <xf numFmtId="0" fontId="3" fillId="0" borderId="14" xfId="0" applyFont="1" applyBorder="1" applyAlignment="1" applyProtection="1">
      <alignment horizontal="left" vertical="center"/>
      <protection hidden="1"/>
    </xf>
    <xf numFmtId="0" fontId="3" fillId="0" borderId="16" xfId="0" applyFont="1" applyBorder="1" applyAlignment="1" applyProtection="1">
      <alignment horizontal="left" vertical="center"/>
      <protection hidden="1"/>
    </xf>
    <xf numFmtId="0" fontId="3" fillId="0" borderId="6" xfId="0" applyFont="1" applyBorder="1" applyAlignment="1" applyProtection="1">
      <alignment horizontal="left" vertical="center"/>
      <protection hidden="1"/>
    </xf>
    <xf numFmtId="0" fontId="3" fillId="0" borderId="17" xfId="0" applyFont="1" applyBorder="1" applyAlignment="1" applyProtection="1">
      <alignment horizontal="left" vertical="center"/>
      <protection hidden="1"/>
    </xf>
    <xf numFmtId="0" fontId="2" fillId="0" borderId="6" xfId="0" quotePrefix="1" applyFont="1" applyBorder="1" applyAlignment="1" applyProtection="1">
      <alignment horizontal="left" vertical="center"/>
      <protection locked="0" hidden="1"/>
    </xf>
    <xf numFmtId="0" fontId="2" fillId="0" borderId="17" xfId="0" quotePrefix="1" applyFont="1" applyBorder="1" applyAlignment="1" applyProtection="1">
      <alignment horizontal="left" vertical="center"/>
      <protection locked="0" hidden="1"/>
    </xf>
    <xf numFmtId="0" fontId="2" fillId="0" borderId="1" xfId="0" applyFont="1" applyBorder="1" applyAlignment="1" applyProtection="1">
      <alignment horizontal="left" vertical="center"/>
      <protection hidden="1"/>
    </xf>
    <xf numFmtId="0" fontId="2" fillId="0" borderId="2" xfId="0" applyFont="1" applyBorder="1" applyAlignment="1" applyProtection="1">
      <alignment horizontal="left" vertical="center"/>
      <protection hidden="1"/>
    </xf>
    <xf numFmtId="0" fontId="2" fillId="0" borderId="15" xfId="0" applyFont="1" applyBorder="1" applyAlignment="1" applyProtection="1">
      <alignment horizontal="left" vertical="center"/>
      <protection hidden="1"/>
    </xf>
    <xf numFmtId="0" fontId="0" fillId="0" borderId="3" xfId="0" applyBorder="1" applyAlignment="1" applyProtection="1">
      <alignment horizontal="left" vertical="center"/>
      <protection hidden="1"/>
    </xf>
    <xf numFmtId="0" fontId="2" fillId="0" borderId="16" xfId="0" applyFont="1" applyBorder="1" applyAlignment="1" applyProtection="1">
      <alignment horizontal="left" vertical="center"/>
      <protection hidden="1"/>
    </xf>
    <xf numFmtId="0" fontId="0" fillId="0" borderId="6" xfId="0" applyBorder="1" applyAlignment="1" applyProtection="1">
      <alignment horizontal="left" vertical="center"/>
      <protection hidden="1"/>
    </xf>
    <xf numFmtId="0" fontId="6" fillId="0" borderId="6" xfId="0" applyFont="1" applyBorder="1" applyAlignment="1" applyProtection="1">
      <alignment horizontal="left" vertical="center"/>
      <protection hidden="1"/>
    </xf>
    <xf numFmtId="0" fontId="2" fillId="0" borderId="6" xfId="0" applyFont="1" applyBorder="1" applyAlignment="1" applyProtection="1">
      <alignment horizontal="left" vertical="center"/>
      <protection hidden="1"/>
    </xf>
    <xf numFmtId="4" fontId="0" fillId="0" borderId="15" xfId="0" applyNumberFormat="1" applyBorder="1" applyAlignment="1" applyProtection="1">
      <alignment horizontal="right" vertical="center"/>
      <protection locked="0"/>
    </xf>
    <xf numFmtId="4" fontId="0" fillId="0" borderId="3" xfId="0" applyNumberFormat="1" applyBorder="1" applyAlignment="1" applyProtection="1">
      <alignment horizontal="right" vertical="center"/>
      <protection locked="0"/>
    </xf>
    <xf numFmtId="4" fontId="0" fillId="0" borderId="14" xfId="0" applyNumberFormat="1" applyBorder="1" applyAlignment="1" applyProtection="1">
      <alignment horizontal="right" vertical="center"/>
      <protection locked="0"/>
    </xf>
    <xf numFmtId="4" fontId="2" fillId="0" borderId="33" xfId="0" applyNumberFormat="1" applyFont="1" applyBorder="1" applyAlignment="1" applyProtection="1">
      <alignment horizontal="right" vertical="center"/>
      <protection locked="0"/>
    </xf>
    <xf numFmtId="4" fontId="0" fillId="0" borderId="30" xfId="0" applyNumberFormat="1" applyBorder="1" applyAlignment="1" applyProtection="1">
      <alignment horizontal="right" vertical="center"/>
      <protection locked="0"/>
    </xf>
    <xf numFmtId="4" fontId="0" fillId="0" borderId="40" xfId="0" applyNumberFormat="1" applyBorder="1" applyAlignment="1" applyProtection="1">
      <alignment horizontal="right" vertical="center"/>
      <protection locked="0"/>
    </xf>
    <xf numFmtId="4" fontId="0" fillId="0" borderId="26" xfId="0" applyNumberFormat="1" applyBorder="1" applyAlignment="1" applyProtection="1">
      <alignment horizontal="right" vertical="center"/>
      <protection locked="0"/>
    </xf>
    <xf numFmtId="4" fontId="0" fillId="0" borderId="27" xfId="0" applyNumberFormat="1" applyBorder="1" applyAlignment="1" applyProtection="1">
      <alignment horizontal="right" vertical="center"/>
      <protection locked="0"/>
    </xf>
    <xf numFmtId="0" fontId="2" fillId="0" borderId="29" xfId="0" applyFont="1" applyBorder="1" applyAlignment="1" applyProtection="1">
      <alignment horizontal="left" vertical="center"/>
      <protection locked="0"/>
    </xf>
    <xf numFmtId="0" fontId="2" fillId="0" borderId="30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12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right" vertical="center" indent="1"/>
      <protection hidden="1"/>
    </xf>
    <xf numFmtId="0" fontId="2" fillId="0" borderId="0" xfId="0" applyFont="1" applyAlignment="1" applyProtection="1">
      <alignment horizontal="right" vertical="center" indent="1"/>
      <protection hidden="1"/>
    </xf>
    <xf numFmtId="0" fontId="2" fillId="0" borderId="8" xfId="0" applyFont="1" applyBorder="1" applyAlignment="1" applyProtection="1">
      <alignment horizontal="right" vertical="center" indent="1"/>
      <protection hidden="1"/>
    </xf>
    <xf numFmtId="0" fontId="2" fillId="0" borderId="42" xfId="0" applyFont="1" applyBorder="1" applyAlignment="1" applyProtection="1">
      <alignment horizontal="right" vertical="center" indent="1"/>
      <protection hidden="1"/>
    </xf>
    <xf numFmtId="0" fontId="2" fillId="0" borderId="6" xfId="0" applyFont="1" applyBorder="1" applyAlignment="1" applyProtection="1">
      <alignment horizontal="right" vertical="center" indent="1"/>
      <protection hidden="1"/>
    </xf>
    <xf numFmtId="0" fontId="2" fillId="0" borderId="17" xfId="0" applyFont="1" applyBorder="1" applyAlignment="1" applyProtection="1">
      <alignment horizontal="right" vertical="center" indent="1"/>
      <protection hidden="1"/>
    </xf>
    <xf numFmtId="0" fontId="6" fillId="0" borderId="32" xfId="0" applyFont="1" applyBorder="1" applyAlignment="1" applyProtection="1">
      <alignment horizontal="left" vertical="top" indent="1"/>
      <protection hidden="1"/>
    </xf>
    <xf numFmtId="0" fontId="0" fillId="0" borderId="3" xfId="0" applyBorder="1" applyAlignment="1">
      <alignment horizontal="left" vertical="top" indent="1"/>
    </xf>
    <xf numFmtId="0" fontId="6" fillId="0" borderId="15" xfId="0" applyFont="1" applyBorder="1" applyAlignment="1" applyProtection="1">
      <alignment horizontal="center" vertical="top"/>
      <protection hidden="1"/>
    </xf>
    <xf numFmtId="0" fontId="6" fillId="0" borderId="3" xfId="0" applyFont="1" applyBorder="1" applyAlignment="1" applyProtection="1">
      <alignment horizontal="center" vertical="top"/>
      <protection hidden="1"/>
    </xf>
    <xf numFmtId="0" fontId="6" fillId="0" borderId="14" xfId="0" applyFont="1" applyBorder="1" applyAlignment="1" applyProtection="1">
      <alignment horizontal="center" vertical="top"/>
      <protection hidden="1"/>
    </xf>
    <xf numFmtId="166" fontId="2" fillId="3" borderId="16" xfId="0" applyNumberFormat="1" applyFont="1" applyFill="1" applyBorder="1" applyAlignment="1" applyProtection="1">
      <alignment horizontal="right" vertical="center"/>
      <protection locked="0" hidden="1"/>
    </xf>
    <xf numFmtId="166" fontId="2" fillId="3" borderId="6" xfId="0" applyNumberFormat="1" applyFont="1" applyFill="1" applyBorder="1" applyAlignment="1" applyProtection="1">
      <alignment horizontal="right" vertical="center"/>
      <protection locked="0" hidden="1"/>
    </xf>
    <xf numFmtId="0" fontId="3" fillId="0" borderId="1" xfId="0" applyFont="1" applyBorder="1" applyAlignment="1" applyProtection="1">
      <alignment horizontal="left" vertical="center"/>
      <protection hidden="1"/>
    </xf>
    <xf numFmtId="0" fontId="3" fillId="0" borderId="2" xfId="0" applyFont="1" applyBorder="1" applyAlignment="1" applyProtection="1">
      <alignment horizontal="left" vertical="center"/>
      <protection hidden="1"/>
    </xf>
    <xf numFmtId="0" fontId="3" fillId="0" borderId="12" xfId="0" applyFont="1" applyBorder="1" applyAlignment="1" applyProtection="1">
      <alignment horizontal="lef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14" fontId="0" fillId="3" borderId="6" xfId="0" applyNumberFormat="1" applyFill="1" applyBorder="1" applyAlignment="1" applyProtection="1">
      <alignment horizontal="left" vertical="center"/>
      <protection hidden="1"/>
    </xf>
    <xf numFmtId="169" fontId="2" fillId="3" borderId="6" xfId="0" applyNumberFormat="1" applyFont="1" applyFill="1" applyBorder="1" applyAlignment="1" applyProtection="1">
      <alignment vertical="center"/>
      <protection locked="0" hidden="1"/>
    </xf>
    <xf numFmtId="169" fontId="0" fillId="3" borderId="6" xfId="0" applyNumberFormat="1" applyFill="1" applyBorder="1" applyAlignment="1" applyProtection="1">
      <alignment vertical="center"/>
      <protection locked="0" hidden="1"/>
    </xf>
    <xf numFmtId="0" fontId="18" fillId="0" borderId="0" xfId="0" applyFont="1" applyAlignment="1" applyProtection="1">
      <alignment horizontal="center" vertical="center"/>
      <protection hidden="1"/>
    </xf>
    <xf numFmtId="0" fontId="0" fillId="3" borderId="6" xfId="0" applyFill="1" applyBorder="1" applyAlignment="1" applyProtection="1">
      <alignment vertical="center"/>
      <protection locked="0"/>
    </xf>
    <xf numFmtId="0" fontId="3" fillId="0" borderId="3" xfId="0" applyFont="1" applyBorder="1" applyAlignment="1" applyProtection="1">
      <alignment horizontal="center" vertical="center"/>
      <protection hidden="1"/>
    </xf>
    <xf numFmtId="0" fontId="0" fillId="3" borderId="6" xfId="0" applyFill="1" applyBorder="1" applyAlignment="1" applyProtection="1">
      <alignment vertical="center"/>
      <protection hidden="1"/>
    </xf>
    <xf numFmtId="0" fontId="2" fillId="0" borderId="15" xfId="0" applyFont="1" applyBorder="1" applyAlignment="1" applyProtection="1">
      <alignment horizontal="left" vertical="top"/>
      <protection locked="0"/>
    </xf>
    <xf numFmtId="0" fontId="0" fillId="0" borderId="3" xfId="0" applyBorder="1" applyAlignment="1" applyProtection="1">
      <alignment horizontal="left" vertical="top"/>
      <protection locked="0"/>
    </xf>
    <xf numFmtId="0" fontId="0" fillId="0" borderId="14" xfId="0" applyBorder="1" applyAlignment="1" applyProtection="1">
      <alignment horizontal="left" vertical="top"/>
      <protection locked="0"/>
    </xf>
    <xf numFmtId="0" fontId="1" fillId="0" borderId="22" xfId="0" applyFont="1" applyBorder="1" applyAlignment="1" applyProtection="1">
      <alignment horizontal="left" vertical="center"/>
      <protection hidden="1"/>
    </xf>
    <xf numFmtId="0" fontId="2" fillId="0" borderId="12" xfId="0" applyFont="1" applyBorder="1" applyAlignment="1" applyProtection="1">
      <alignment horizontal="left" vertical="center"/>
      <protection hidden="1"/>
    </xf>
    <xf numFmtId="0" fontId="3" fillId="0" borderId="0" xfId="0" applyFont="1" applyAlignment="1" applyProtection="1">
      <alignment horizontal="left" vertical="center"/>
      <protection hidden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2" fillId="0" borderId="15" xfId="0" applyFont="1" applyBorder="1" applyAlignment="1" applyProtection="1">
      <alignment horizontal="center" vertical="center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0" fontId="2" fillId="0" borderId="14" xfId="0" applyFont="1" applyBorder="1" applyAlignment="1" applyProtection="1">
      <alignment horizontal="center" vertical="center"/>
      <protection hidden="1"/>
    </xf>
    <xf numFmtId="49" fontId="1" fillId="3" borderId="16" xfId="0" applyNumberFormat="1" applyFont="1" applyFill="1" applyBorder="1" applyAlignment="1" applyProtection="1">
      <alignment horizontal="left" vertical="top" wrapText="1"/>
      <protection locked="0" hidden="1"/>
    </xf>
    <xf numFmtId="49" fontId="1" fillId="3" borderId="6" xfId="0" applyNumberFormat="1" applyFont="1" applyFill="1" applyBorder="1" applyAlignment="1" applyProtection="1">
      <alignment horizontal="left" vertical="top" wrapText="1"/>
      <protection locked="0" hidden="1"/>
    </xf>
    <xf numFmtId="49" fontId="1" fillId="3" borderId="2" xfId="0" applyNumberFormat="1" applyFont="1" applyFill="1" applyBorder="1" applyAlignment="1" applyProtection="1">
      <alignment horizontal="left" vertical="top" wrapText="1"/>
      <protection locked="0" hidden="1"/>
    </xf>
    <xf numFmtId="49" fontId="1" fillId="3" borderId="12" xfId="0" applyNumberFormat="1" applyFont="1" applyFill="1" applyBorder="1" applyAlignment="1" applyProtection="1">
      <alignment horizontal="left" vertical="top" wrapText="1"/>
      <protection locked="0" hidden="1"/>
    </xf>
    <xf numFmtId="0" fontId="22" fillId="4" borderId="2" xfId="0" applyFont="1" applyFill="1" applyBorder="1" applyAlignment="1" applyProtection="1">
      <alignment horizontal="left" vertical="center"/>
      <protection locked="0" hidden="1"/>
    </xf>
    <xf numFmtId="0" fontId="22" fillId="0" borderId="2" xfId="0" applyFont="1" applyBorder="1" applyAlignment="1" applyProtection="1">
      <alignment horizontal="left" vertical="center"/>
      <protection locked="0" hidden="1"/>
    </xf>
    <xf numFmtId="0" fontId="22" fillId="0" borderId="12" xfId="0" applyFont="1" applyBorder="1" applyAlignment="1" applyProtection="1">
      <alignment horizontal="left" vertical="center"/>
      <protection locked="0" hidden="1"/>
    </xf>
    <xf numFmtId="49" fontId="1" fillId="3" borderId="2" xfId="0" applyNumberFormat="1" applyFont="1" applyFill="1" applyBorder="1" applyAlignment="1" applyProtection="1">
      <alignment horizontal="left" vertical="center"/>
      <protection locked="0" hidden="1"/>
    </xf>
    <xf numFmtId="49" fontId="1" fillId="3" borderId="12" xfId="0" applyNumberFormat="1" applyFont="1" applyFill="1" applyBorder="1" applyAlignment="1" applyProtection="1">
      <alignment horizontal="left" vertical="center"/>
      <protection locked="0" hidden="1"/>
    </xf>
    <xf numFmtId="0" fontId="1" fillId="3" borderId="1" xfId="0" applyFont="1" applyFill="1" applyBorder="1" applyAlignment="1" applyProtection="1">
      <alignment horizontal="left" vertical="center"/>
      <protection locked="0" hidden="1"/>
    </xf>
    <xf numFmtId="0" fontId="1" fillId="3" borderId="2" xfId="0" applyFont="1" applyFill="1" applyBorder="1" applyAlignment="1" applyProtection="1">
      <alignment horizontal="left" vertical="center"/>
      <protection locked="0" hidden="1"/>
    </xf>
    <xf numFmtId="0" fontId="1" fillId="3" borderId="12" xfId="0" applyFont="1" applyFill="1" applyBorder="1" applyAlignment="1" applyProtection="1">
      <alignment horizontal="left" vertical="center"/>
      <protection locked="0" hidden="1"/>
    </xf>
    <xf numFmtId="0" fontId="2" fillId="3" borderId="1" xfId="0" applyFont="1" applyFill="1" applyBorder="1" applyAlignment="1" applyProtection="1">
      <alignment horizontal="left" vertical="center"/>
      <protection locked="0"/>
    </xf>
    <xf numFmtId="0" fontId="2" fillId="3" borderId="2" xfId="0" applyFont="1" applyFill="1" applyBorder="1" applyAlignment="1" applyProtection="1">
      <alignment horizontal="left" vertical="center"/>
      <protection locked="0"/>
    </xf>
    <xf numFmtId="0" fontId="2" fillId="3" borderId="12" xfId="0" applyFont="1" applyFill="1" applyBorder="1" applyAlignment="1" applyProtection="1">
      <alignment horizontal="left" vertical="center"/>
      <protection locked="0"/>
    </xf>
    <xf numFmtId="0" fontId="1" fillId="0" borderId="22" xfId="0" applyFont="1" applyBorder="1" applyAlignment="1" applyProtection="1">
      <alignment horizontal="left" vertical="center" wrapText="1"/>
      <protection hidden="1"/>
    </xf>
    <xf numFmtId="0" fontId="2" fillId="0" borderId="44" xfId="0" applyFont="1" applyBorder="1" applyAlignment="1" applyProtection="1">
      <alignment horizontal="left" vertical="center"/>
      <protection locked="0"/>
    </xf>
    <xf numFmtId="0" fontId="0" fillId="0" borderId="45" xfId="0" applyBorder="1" applyAlignment="1" applyProtection="1">
      <alignment horizontal="left" vertical="center"/>
      <protection locked="0"/>
    </xf>
    <xf numFmtId="0" fontId="0" fillId="0" borderId="46" xfId="0" applyBorder="1" applyAlignment="1" applyProtection="1">
      <alignment horizontal="left" vertical="center"/>
      <protection locked="0"/>
    </xf>
    <xf numFmtId="0" fontId="2" fillId="0" borderId="3" xfId="0" applyFont="1" applyBorder="1" applyAlignment="1" applyProtection="1">
      <alignment horizontal="left" vertical="center"/>
      <protection hidden="1"/>
    </xf>
    <xf numFmtId="0" fontId="2" fillId="0" borderId="14" xfId="0" applyFont="1" applyBorder="1" applyAlignment="1" applyProtection="1">
      <alignment horizontal="left" vertical="center"/>
      <protection hidden="1"/>
    </xf>
    <xf numFmtId="0" fontId="2" fillId="0" borderId="31" xfId="0" applyFont="1" applyBorder="1" applyAlignment="1" applyProtection="1">
      <alignment horizontal="left" vertical="center" wrapText="1"/>
      <protection hidden="1"/>
    </xf>
    <xf numFmtId="0" fontId="2" fillId="0" borderId="4" xfId="0" applyFont="1" applyBorder="1" applyAlignment="1" applyProtection="1">
      <alignment horizontal="left" vertical="center" wrapText="1"/>
      <protection hidden="1"/>
    </xf>
    <xf numFmtId="0" fontId="0" fillId="0" borderId="4" xfId="0" applyBorder="1" applyAlignment="1" applyProtection="1">
      <alignment horizontal="left" vertical="center"/>
      <protection hidden="1"/>
    </xf>
    <xf numFmtId="0" fontId="2" fillId="3" borderId="26" xfId="0" applyFont="1" applyFill="1" applyBorder="1" applyAlignment="1" applyProtection="1">
      <alignment horizontal="left" vertical="center"/>
      <protection locked="0"/>
    </xf>
    <xf numFmtId="0" fontId="2" fillId="3" borderId="27" xfId="0" applyFont="1" applyFill="1" applyBorder="1" applyAlignment="1" applyProtection="1">
      <alignment horizontal="left" vertical="center"/>
      <protection locked="0"/>
    </xf>
    <xf numFmtId="0" fontId="2" fillId="0" borderId="8" xfId="0" applyFont="1" applyBorder="1" applyAlignment="1" applyProtection="1">
      <alignment horizontal="left" vertical="center"/>
      <protection hidden="1"/>
    </xf>
    <xf numFmtId="0" fontId="2" fillId="0" borderId="17" xfId="0" applyFont="1" applyBorder="1" applyAlignment="1" applyProtection="1">
      <alignment horizontal="left" vertical="center"/>
      <protection hidden="1"/>
    </xf>
    <xf numFmtId="0" fontId="10" fillId="3" borderId="0" xfId="0" applyFont="1" applyFill="1" applyAlignment="1" applyProtection="1">
      <alignment horizontal="left" vertical="center" wrapText="1"/>
      <protection locked="0" hidden="1"/>
    </xf>
    <xf numFmtId="0" fontId="5" fillId="0" borderId="0" xfId="0" applyFont="1" applyAlignment="1" applyProtection="1">
      <alignment horizontal="left" vertical="center" wrapText="1"/>
      <protection hidden="1"/>
    </xf>
    <xf numFmtId="0" fontId="0" fillId="0" borderId="16" xfId="0" applyBorder="1" applyAlignment="1" applyProtection="1">
      <alignment vertical="center"/>
      <protection hidden="1"/>
    </xf>
    <xf numFmtId="0" fontId="0" fillId="0" borderId="6" xfId="0" applyBorder="1" applyProtection="1">
      <protection hidden="1"/>
    </xf>
    <xf numFmtId="0" fontId="0" fillId="0" borderId="17" xfId="0" applyBorder="1" applyProtection="1">
      <protection hidden="1"/>
    </xf>
    <xf numFmtId="0" fontId="0" fillId="0" borderId="15" xfId="0" applyBorder="1" applyAlignment="1" applyProtection="1">
      <alignment vertical="center"/>
      <protection hidden="1"/>
    </xf>
    <xf numFmtId="0" fontId="0" fillId="0" borderId="3" xfId="0" applyBorder="1" applyAlignment="1" applyProtection="1">
      <alignment vertical="center"/>
      <protection hidden="1"/>
    </xf>
    <xf numFmtId="0" fontId="0" fillId="0" borderId="14" xfId="0" applyBorder="1" applyAlignment="1" applyProtection="1">
      <alignment vertical="center"/>
      <protection hidden="1"/>
    </xf>
    <xf numFmtId="0" fontId="0" fillId="0" borderId="6" xfId="0" applyBorder="1" applyAlignment="1" applyProtection="1">
      <alignment vertical="center"/>
      <protection hidden="1"/>
    </xf>
    <xf numFmtId="0" fontId="0" fillId="0" borderId="17" xfId="0" applyBorder="1" applyAlignment="1" applyProtection="1">
      <alignment vertical="center"/>
      <protection hidden="1"/>
    </xf>
    <xf numFmtId="0" fontId="1" fillId="0" borderId="1" xfId="0" applyFont="1" applyBorder="1" applyAlignment="1" applyProtection="1">
      <alignment horizontal="left" vertical="center"/>
      <protection hidden="1"/>
    </xf>
    <xf numFmtId="0" fontId="2" fillId="0" borderId="0" xfId="0" applyFont="1" applyAlignment="1" applyProtection="1">
      <alignment horizontal="left" indent="1"/>
      <protection hidden="1"/>
    </xf>
    <xf numFmtId="0" fontId="0" fillId="0" borderId="0" xfId="0" applyAlignment="1" applyProtection="1">
      <alignment horizontal="left" indent="1"/>
      <protection hidden="1"/>
    </xf>
    <xf numFmtId="0" fontId="2" fillId="0" borderId="15" xfId="0" applyFont="1" applyBorder="1" applyAlignment="1" applyProtection="1">
      <alignment vertical="center"/>
      <protection hidden="1"/>
    </xf>
    <xf numFmtId="0" fontId="2" fillId="0" borderId="41" xfId="0" applyFont="1" applyBorder="1" applyAlignment="1" applyProtection="1">
      <alignment horizontal="left" vertical="center"/>
      <protection locked="0"/>
    </xf>
    <xf numFmtId="0" fontId="0" fillId="0" borderId="41" xfId="0" applyBorder="1" applyAlignment="1" applyProtection="1">
      <alignment horizontal="left" vertical="center"/>
      <protection locked="0"/>
    </xf>
    <xf numFmtId="0" fontId="0" fillId="0" borderId="7" xfId="0" applyBorder="1" applyAlignment="1" applyProtection="1">
      <alignment horizontal="center" vertical="top"/>
      <protection hidden="1"/>
    </xf>
    <xf numFmtId="0" fontId="0" fillId="0" borderId="0" xfId="0" applyAlignment="1" applyProtection="1">
      <alignment horizontal="center" vertical="top"/>
      <protection hidden="1"/>
    </xf>
    <xf numFmtId="0" fontId="0" fillId="0" borderId="8" xfId="0" applyBorder="1" applyAlignment="1" applyProtection="1">
      <alignment horizontal="center" vertical="top"/>
      <protection hidden="1"/>
    </xf>
    <xf numFmtId="0" fontId="0" fillId="0" borderId="2" xfId="0" applyBorder="1" applyAlignment="1" applyProtection="1">
      <alignment horizontal="left" vertical="center"/>
      <protection hidden="1"/>
    </xf>
    <xf numFmtId="0" fontId="0" fillId="0" borderId="12" xfId="0" applyBorder="1" applyAlignment="1" applyProtection="1">
      <alignment horizontal="left" vertical="center"/>
      <protection hidden="1"/>
    </xf>
    <xf numFmtId="0" fontId="2" fillId="0" borderId="40" xfId="0" applyFont="1" applyBorder="1" applyAlignment="1" applyProtection="1">
      <alignment horizontal="left" vertical="center" wrapText="1"/>
      <protection hidden="1"/>
    </xf>
    <xf numFmtId="0" fontId="2" fillId="0" borderId="26" xfId="0" applyFont="1" applyBorder="1" applyAlignment="1" applyProtection="1">
      <alignment horizontal="left" vertical="center" wrapText="1"/>
      <protection hidden="1"/>
    </xf>
    <xf numFmtId="0" fontId="2" fillId="3" borderId="4" xfId="0" applyFont="1" applyFill="1" applyBorder="1" applyAlignment="1" applyProtection="1">
      <alignment horizontal="left" vertical="center"/>
      <protection locked="0" hidden="1"/>
    </xf>
    <xf numFmtId="0" fontId="0" fillId="3" borderId="4" xfId="0" applyFill="1" applyBorder="1" applyAlignment="1" applyProtection="1">
      <alignment horizontal="left" vertical="center"/>
      <protection locked="0" hidden="1"/>
    </xf>
    <xf numFmtId="49" fontId="1" fillId="3" borderId="1" xfId="0" applyNumberFormat="1" applyFont="1" applyFill="1" applyBorder="1" applyAlignment="1" applyProtection="1">
      <alignment horizontal="left" vertical="center"/>
      <protection locked="0"/>
    </xf>
    <xf numFmtId="49" fontId="2" fillId="3" borderId="2" xfId="0" applyNumberFormat="1" applyFont="1" applyFill="1" applyBorder="1" applyAlignment="1" applyProtection="1">
      <alignment horizontal="left" vertical="center"/>
      <protection locked="0"/>
    </xf>
    <xf numFmtId="49" fontId="0" fillId="3" borderId="2" xfId="0" applyNumberFormat="1" applyFill="1" applyBorder="1" applyAlignment="1" applyProtection="1">
      <alignment horizontal="left" vertical="center"/>
      <protection locked="0"/>
    </xf>
    <xf numFmtId="49" fontId="0" fillId="3" borderId="12" xfId="0" applyNumberFormat="1" applyFill="1" applyBorder="1" applyAlignment="1" applyProtection="1">
      <alignment horizontal="left" vertical="center"/>
      <protection locked="0"/>
    </xf>
    <xf numFmtId="0" fontId="1" fillId="0" borderId="1" xfId="0" applyFont="1" applyBorder="1" applyProtection="1">
      <protection hidden="1"/>
    </xf>
    <xf numFmtId="0" fontId="0" fillId="0" borderId="2" xfId="0" applyBorder="1" applyProtection="1">
      <protection hidden="1"/>
    </xf>
    <xf numFmtId="0" fontId="0" fillId="0" borderId="12" xfId="0" applyBorder="1" applyProtection="1">
      <protection hidden="1"/>
    </xf>
    <xf numFmtId="0" fontId="0" fillId="0" borderId="1" xfId="0" applyBorder="1" applyProtection="1">
      <protection locked="0"/>
    </xf>
    <xf numFmtId="0" fontId="0" fillId="0" borderId="2" xfId="0" applyBorder="1" applyProtection="1">
      <protection locked="0"/>
    </xf>
    <xf numFmtId="0" fontId="0" fillId="0" borderId="12" xfId="0" applyBorder="1" applyProtection="1">
      <protection locked="0"/>
    </xf>
    <xf numFmtId="0" fontId="2" fillId="0" borderId="0" xfId="0" applyFont="1" applyAlignment="1" applyProtection="1">
      <alignment vertical="center"/>
      <protection hidden="1"/>
    </xf>
    <xf numFmtId="0" fontId="2" fillId="3" borderId="22" xfId="0" applyFont="1" applyFill="1" applyBorder="1" applyAlignment="1" applyProtection="1">
      <alignment horizontal="left" vertical="center"/>
      <protection locked="0"/>
    </xf>
    <xf numFmtId="0" fontId="0" fillId="3" borderId="22" xfId="0" applyFill="1" applyBorder="1" applyAlignment="1" applyProtection="1">
      <alignment horizontal="left" vertical="center"/>
      <protection locked="0"/>
    </xf>
    <xf numFmtId="0" fontId="2" fillId="0" borderId="7" xfId="0" applyFont="1" applyBorder="1" applyAlignment="1" applyProtection="1">
      <alignment horizontal="left" vertical="top"/>
      <protection locked="0"/>
    </xf>
    <xf numFmtId="0" fontId="2" fillId="0" borderId="0" xfId="0" applyFont="1" applyAlignment="1" applyProtection="1">
      <alignment horizontal="left" vertical="top"/>
      <protection locked="0"/>
    </xf>
    <xf numFmtId="0" fontId="2" fillId="0" borderId="8" xfId="0" applyFont="1" applyBorder="1" applyAlignment="1" applyProtection="1">
      <alignment horizontal="left" vertical="top"/>
      <protection locked="0"/>
    </xf>
    <xf numFmtId="0" fontId="2" fillId="0" borderId="37" xfId="0" applyFont="1" applyBorder="1" applyAlignment="1" applyProtection="1">
      <alignment horizontal="left" vertical="center"/>
      <protection hidden="1"/>
    </xf>
    <xf numFmtId="0" fontId="2" fillId="0" borderId="38" xfId="0" applyFont="1" applyBorder="1" applyAlignment="1" applyProtection="1">
      <alignment horizontal="left" vertical="center"/>
      <protection hidden="1"/>
    </xf>
    <xf numFmtId="0" fontId="2" fillId="0" borderId="31" xfId="0" applyFont="1" applyBorder="1" applyAlignment="1" applyProtection="1">
      <alignment horizontal="left" vertical="center"/>
      <protection hidden="1"/>
    </xf>
    <xf numFmtId="0" fontId="2" fillId="0" borderId="33" xfId="0" applyFont="1" applyBorder="1" applyAlignment="1" applyProtection="1">
      <alignment horizontal="left" vertical="center"/>
      <protection hidden="1"/>
    </xf>
    <xf numFmtId="0" fontId="2" fillId="0" borderId="29" xfId="0" applyFont="1" applyBorder="1" applyAlignment="1" applyProtection="1">
      <alignment horizontal="left" vertical="center"/>
      <protection hidden="1"/>
    </xf>
    <xf numFmtId="4" fontId="0" fillId="0" borderId="7" xfId="0" applyNumberFormat="1" applyBorder="1" applyAlignment="1" applyProtection="1">
      <alignment horizontal="right" vertical="center"/>
      <protection locked="0"/>
    </xf>
    <xf numFmtId="4" fontId="0" fillId="0" borderId="0" xfId="0" applyNumberFormat="1" applyAlignment="1" applyProtection="1">
      <alignment horizontal="right" vertical="center"/>
      <protection locked="0"/>
    </xf>
    <xf numFmtId="4" fontId="0" fillId="0" borderId="8" xfId="0" applyNumberFormat="1" applyBorder="1" applyAlignment="1" applyProtection="1">
      <alignment horizontal="right" vertical="center"/>
      <protection locked="0"/>
    </xf>
    <xf numFmtId="0" fontId="5" fillId="0" borderId="0" xfId="0" applyFont="1" applyAlignment="1" applyProtection="1">
      <alignment horizontal="left" vertical="center"/>
      <protection hidden="1"/>
    </xf>
    <xf numFmtId="0" fontId="3" fillId="0" borderId="1" xfId="0" applyFont="1" applyBorder="1" applyAlignment="1" applyProtection="1">
      <alignment horizontal="right" vertical="center" indent="1"/>
      <protection hidden="1"/>
    </xf>
    <xf numFmtId="0" fontId="3" fillId="0" borderId="2" xfId="0" applyFont="1" applyBorder="1" applyAlignment="1" applyProtection="1">
      <alignment horizontal="right" vertical="center" indent="1"/>
      <protection hidden="1"/>
    </xf>
    <xf numFmtId="0" fontId="0" fillId="0" borderId="0" xfId="0" applyAlignment="1" applyProtection="1">
      <alignment vertical="center"/>
      <protection hidden="1"/>
    </xf>
    <xf numFmtId="4" fontId="0" fillId="0" borderId="34" xfId="0" applyNumberFormat="1" applyBorder="1" applyAlignment="1" applyProtection="1">
      <alignment horizontal="right" vertical="center"/>
      <protection locked="0"/>
    </xf>
    <xf numFmtId="4" fontId="0" fillId="0" borderId="16" xfId="0" applyNumberFormat="1" applyBorder="1" applyAlignment="1" applyProtection="1">
      <alignment horizontal="right" vertical="center"/>
      <protection locked="0"/>
    </xf>
    <xf numFmtId="4" fontId="0" fillId="0" borderId="6" xfId="0" applyNumberFormat="1" applyBorder="1" applyAlignment="1" applyProtection="1">
      <alignment horizontal="right" vertical="center"/>
      <protection locked="0"/>
    </xf>
    <xf numFmtId="4" fontId="0" fillId="0" borderId="25" xfId="0" applyNumberFormat="1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0" fontId="0" fillId="0" borderId="17" xfId="0" applyBorder="1" applyAlignment="1" applyProtection="1">
      <alignment horizontal="right" vertical="center"/>
      <protection locked="0"/>
    </xf>
    <xf numFmtId="4" fontId="0" fillId="0" borderId="17" xfId="0" applyNumberFormat="1" applyBorder="1" applyAlignment="1" applyProtection="1">
      <alignment horizontal="right" vertical="center"/>
      <protection locked="0"/>
    </xf>
    <xf numFmtId="4" fontId="2" fillId="0" borderId="7" xfId="0" applyNumberFormat="1" applyFont="1" applyBorder="1" applyAlignment="1" applyProtection="1">
      <alignment horizontal="right" vertical="center"/>
      <protection locked="0"/>
    </xf>
    <xf numFmtId="4" fontId="0" fillId="0" borderId="9" xfId="0" applyNumberFormat="1" applyBorder="1" applyAlignment="1" applyProtection="1">
      <alignment horizontal="right" vertical="center"/>
      <protection locked="0"/>
    </xf>
    <xf numFmtId="0" fontId="3" fillId="0" borderId="15" xfId="0" applyFont="1" applyBorder="1" applyAlignment="1" applyProtection="1">
      <alignment horizontal="left" vertical="top"/>
      <protection hidden="1"/>
    </xf>
    <xf numFmtId="0" fontId="3" fillId="0" borderId="3" xfId="0" applyFont="1" applyBorder="1" applyAlignment="1" applyProtection="1">
      <alignment horizontal="left" vertical="top"/>
      <protection hidden="1"/>
    </xf>
    <xf numFmtId="0" fontId="3" fillId="0" borderId="14" xfId="0" applyFont="1" applyBorder="1" applyAlignment="1" applyProtection="1">
      <alignment horizontal="left" vertical="top"/>
      <protection hidden="1"/>
    </xf>
    <xf numFmtId="0" fontId="3" fillId="0" borderId="7" xfId="0" applyFont="1" applyBorder="1" applyAlignment="1" applyProtection="1">
      <alignment horizontal="left" vertical="top"/>
      <protection hidden="1"/>
    </xf>
    <xf numFmtId="0" fontId="3" fillId="0" borderId="0" xfId="0" applyFont="1" applyAlignment="1" applyProtection="1">
      <alignment horizontal="left" vertical="top"/>
      <protection hidden="1"/>
    </xf>
    <xf numFmtId="0" fontId="3" fillId="0" borderId="8" xfId="0" applyFont="1" applyBorder="1" applyAlignment="1" applyProtection="1">
      <alignment horizontal="left" vertical="top"/>
      <protection hidden="1"/>
    </xf>
    <xf numFmtId="0" fontId="6" fillId="0" borderId="2" xfId="0" applyFont="1" applyBorder="1" applyAlignment="1" applyProtection="1">
      <alignment horizontal="right" vertical="center"/>
      <protection hidden="1"/>
    </xf>
    <xf numFmtId="0" fontId="3" fillId="0" borderId="2" xfId="0" applyFon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 vertical="center"/>
      <protection hidden="1"/>
    </xf>
    <xf numFmtId="4" fontId="0" fillId="0" borderId="43" xfId="0" applyNumberFormat="1" applyBorder="1" applyAlignment="1" applyProtection="1">
      <alignment horizontal="right" vertical="center"/>
      <protection locked="0"/>
    </xf>
    <xf numFmtId="0" fontId="1" fillId="0" borderId="1" xfId="0" applyFont="1" applyBorder="1" applyAlignment="1" applyProtection="1">
      <alignment horizontal="center" vertical="center"/>
      <protection locked="0" hidden="1"/>
    </xf>
    <xf numFmtId="0" fontId="3" fillId="0" borderId="0" xfId="0" applyFont="1" applyAlignment="1" applyProtection="1">
      <alignment horizontal="center" vertical="center"/>
      <protection hidden="1"/>
    </xf>
    <xf numFmtId="0" fontId="10" fillId="3" borderId="0" xfId="0" applyFont="1" applyFill="1" applyAlignment="1" applyProtection="1">
      <alignment vertical="center"/>
      <protection locked="0" hidden="1"/>
    </xf>
    <xf numFmtId="0" fontId="0" fillId="3" borderId="0" xfId="0" applyFill="1" applyAlignment="1" applyProtection="1">
      <alignment vertical="center"/>
      <protection locked="0" hidden="1"/>
    </xf>
    <xf numFmtId="0" fontId="6" fillId="0" borderId="2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left" vertical="center"/>
      <protection locked="0"/>
    </xf>
    <xf numFmtId="0" fontId="0" fillId="0" borderId="0" xfId="0" applyAlignment="1" applyProtection="1">
      <alignment horizontal="left" vertical="center"/>
      <protection locked="0"/>
    </xf>
    <xf numFmtId="0" fontId="0" fillId="0" borderId="8" xfId="0" applyBorder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left" vertical="top" indent="1"/>
      <protection hidden="1"/>
    </xf>
    <xf numFmtId="0" fontId="0" fillId="0" borderId="2" xfId="0" applyBorder="1" applyAlignment="1">
      <alignment horizontal="left" vertical="top" indent="1"/>
    </xf>
    <xf numFmtId="0" fontId="0" fillId="0" borderId="0" xfId="0" applyProtection="1">
      <protection hidden="1"/>
    </xf>
    <xf numFmtId="0" fontId="2" fillId="0" borderId="2" xfId="0" applyFont="1" applyBorder="1" applyAlignment="1" applyProtection="1">
      <alignment horizontal="center" vertical="center"/>
      <protection locked="0" hidden="1"/>
    </xf>
    <xf numFmtId="0" fontId="2" fillId="0" borderId="6" xfId="0" quotePrefix="1" applyFont="1" applyBorder="1" applyAlignment="1" applyProtection="1">
      <alignment horizontal="left" vertical="center"/>
      <protection locked="0"/>
    </xf>
    <xf numFmtId="0" fontId="2" fillId="0" borderId="17" xfId="0" quotePrefix="1" applyFont="1" applyBorder="1" applyAlignment="1" applyProtection="1">
      <alignment horizontal="left" vertical="center"/>
      <protection locked="0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2" xfId="0" applyBorder="1" applyAlignment="1" applyProtection="1">
      <alignment horizontal="center" vertical="center"/>
      <protection locked="0" hidden="1"/>
    </xf>
    <xf numFmtId="0" fontId="0" fillId="0" borderId="12" xfId="0" applyBorder="1" applyAlignment="1" applyProtection="1">
      <alignment horizontal="center" vertical="center"/>
      <protection locked="0" hidden="1"/>
    </xf>
    <xf numFmtId="4" fontId="1" fillId="0" borderId="1" xfId="0" applyNumberFormat="1" applyFont="1" applyBorder="1" applyAlignment="1" applyProtection="1">
      <alignment horizontal="center" vertical="center"/>
      <protection hidden="1"/>
    </xf>
    <xf numFmtId="4" fontId="0" fillId="0" borderId="2" xfId="0" applyNumberFormat="1" applyBorder="1" applyAlignment="1" applyProtection="1">
      <alignment horizontal="center" vertical="center"/>
      <protection hidden="1"/>
    </xf>
    <xf numFmtId="0" fontId="0" fillId="0" borderId="25" xfId="0" applyBorder="1" applyAlignment="1" applyProtection="1">
      <alignment horizontal="right" vertical="center"/>
      <protection locked="0"/>
    </xf>
    <xf numFmtId="4" fontId="0" fillId="0" borderId="31" xfId="0" applyNumberFormat="1" applyBorder="1" applyAlignment="1" applyProtection="1">
      <alignment horizontal="right" vertical="center"/>
      <protection locked="0"/>
    </xf>
    <xf numFmtId="4" fontId="0" fillId="0" borderId="4" xfId="0" applyNumberFormat="1" applyBorder="1" applyAlignment="1" applyProtection="1">
      <alignment horizontal="right" vertical="center"/>
      <protection locked="0"/>
    </xf>
    <xf numFmtId="4" fontId="0" fillId="0" borderId="5" xfId="0" applyNumberFormat="1" applyBorder="1" applyAlignment="1" applyProtection="1">
      <alignment horizontal="right" vertical="center"/>
      <protection locked="0"/>
    </xf>
    <xf numFmtId="0" fontId="2" fillId="3" borderId="15" xfId="0" applyFont="1" applyFill="1" applyBorder="1" applyAlignment="1" applyProtection="1">
      <alignment horizontal="left" vertical="top" wrapText="1"/>
      <protection locked="0"/>
    </xf>
    <xf numFmtId="0" fontId="2" fillId="3" borderId="3" xfId="0" applyFont="1" applyFill="1" applyBorder="1" applyAlignment="1" applyProtection="1">
      <alignment horizontal="left" vertical="top" wrapText="1"/>
      <protection locked="0"/>
    </xf>
    <xf numFmtId="0" fontId="2" fillId="3" borderId="14" xfId="0" applyFont="1" applyFill="1" applyBorder="1" applyAlignment="1" applyProtection="1">
      <alignment horizontal="left" vertical="top" wrapText="1"/>
      <protection locked="0"/>
    </xf>
    <xf numFmtId="0" fontId="2" fillId="3" borderId="7" xfId="0" applyFont="1" applyFill="1" applyBorder="1" applyAlignment="1" applyProtection="1">
      <alignment horizontal="left" vertical="top" wrapText="1"/>
      <protection locked="0"/>
    </xf>
    <xf numFmtId="0" fontId="2" fillId="3" borderId="0" xfId="0" applyFont="1" applyFill="1" applyAlignment="1" applyProtection="1">
      <alignment horizontal="left" vertical="top" wrapText="1"/>
      <protection locked="0"/>
    </xf>
    <xf numFmtId="0" fontId="2" fillId="3" borderId="8" xfId="0" applyFont="1" applyFill="1" applyBorder="1" applyAlignment="1" applyProtection="1">
      <alignment horizontal="left" vertical="top" wrapText="1"/>
      <protection locked="0"/>
    </xf>
    <xf numFmtId="0" fontId="2" fillId="3" borderId="16" xfId="0" applyFont="1" applyFill="1" applyBorder="1" applyAlignment="1" applyProtection="1">
      <alignment horizontal="left" vertical="top" wrapText="1"/>
      <protection locked="0"/>
    </xf>
    <xf numFmtId="0" fontId="2" fillId="3" borderId="6" xfId="0" applyFont="1" applyFill="1" applyBorder="1" applyAlignment="1" applyProtection="1">
      <alignment horizontal="left" vertical="top" wrapText="1"/>
      <protection locked="0"/>
    </xf>
    <xf numFmtId="0" fontId="2" fillId="3" borderId="17" xfId="0" applyFont="1" applyFill="1" applyBorder="1" applyAlignment="1" applyProtection="1">
      <alignment horizontal="left" vertical="top" wrapText="1"/>
      <protection locked="0"/>
    </xf>
    <xf numFmtId="0" fontId="2" fillId="0" borderId="2" xfId="0" applyFont="1" applyBorder="1" applyAlignment="1" applyProtection="1">
      <alignment horizontal="center" vertical="center"/>
      <protection hidden="1"/>
    </xf>
    <xf numFmtId="0" fontId="0" fillId="0" borderId="2" xfId="0" applyBorder="1" applyAlignment="1" applyProtection="1">
      <alignment horizontal="center"/>
      <protection hidden="1"/>
    </xf>
    <xf numFmtId="0" fontId="0" fillId="0" borderId="12" xfId="0" applyBorder="1" applyAlignment="1" applyProtection="1">
      <alignment horizontal="center"/>
      <protection hidden="1"/>
    </xf>
    <xf numFmtId="0" fontId="0" fillId="0" borderId="4" xfId="0" applyBorder="1" applyAlignment="1" applyProtection="1">
      <alignment horizontal="left" vertical="center"/>
      <protection locked="0"/>
    </xf>
    <xf numFmtId="0" fontId="0" fillId="0" borderId="4" xfId="0" applyBorder="1" applyAlignment="1" applyProtection="1">
      <alignment vertical="center"/>
      <protection locked="0"/>
    </xf>
    <xf numFmtId="0" fontId="0" fillId="0" borderId="5" xfId="0" applyBorder="1" applyAlignment="1" applyProtection="1">
      <alignment vertical="center"/>
      <protection locked="0"/>
    </xf>
    <xf numFmtId="4" fontId="0" fillId="0" borderId="36" xfId="0" applyNumberFormat="1" applyBorder="1" applyAlignment="1" applyProtection="1">
      <alignment horizontal="right"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12" xfId="0" applyBorder="1" applyAlignment="1" applyProtection="1">
      <alignment horizontal="center" vertical="center"/>
      <protection locked="0"/>
    </xf>
    <xf numFmtId="0" fontId="2" fillId="0" borderId="10" xfId="0" applyFont="1" applyBorder="1" applyAlignment="1" applyProtection="1">
      <alignment horizontal="center" vertical="center"/>
      <protection hidden="1"/>
    </xf>
    <xf numFmtId="0" fontId="23" fillId="0" borderId="2" xfId="0" applyFont="1" applyBorder="1" applyAlignment="1" applyProtection="1">
      <alignment horizontal="center" vertical="center"/>
      <protection hidden="1"/>
    </xf>
    <xf numFmtId="0" fontId="24" fillId="0" borderId="2" xfId="0" applyFont="1" applyBorder="1" applyAlignment="1" applyProtection="1">
      <alignment horizontal="center" vertical="center"/>
      <protection hidden="1"/>
    </xf>
    <xf numFmtId="0" fontId="21" fillId="0" borderId="0" xfId="1" applyFont="1" applyFill="1" applyBorder="1" applyAlignment="1" applyProtection="1">
      <alignment horizontal="center" vertical="center"/>
      <protection hidden="1"/>
    </xf>
    <xf numFmtId="4" fontId="3" fillId="0" borderId="39" xfId="0" applyNumberFormat="1" applyFont="1" applyBorder="1" applyAlignment="1" applyProtection="1">
      <alignment horizontal="right" vertical="center"/>
      <protection hidden="1"/>
    </xf>
    <xf numFmtId="4" fontId="3" fillId="0" borderId="2" xfId="0" applyNumberFormat="1" applyFont="1" applyBorder="1" applyAlignment="1" applyProtection="1">
      <alignment horizontal="right" vertical="center"/>
      <protection hidden="1"/>
    </xf>
    <xf numFmtId="4" fontId="3" fillId="0" borderId="12" xfId="0" applyNumberFormat="1" applyFont="1" applyBorder="1" applyAlignment="1" applyProtection="1">
      <alignment horizontal="right" vertical="center"/>
      <protection hidden="1"/>
    </xf>
    <xf numFmtId="0" fontId="6" fillId="0" borderId="3" xfId="0" applyFont="1" applyBorder="1" applyAlignment="1" applyProtection="1">
      <alignment horizontal="left" vertical="center" indent="1"/>
      <protection hidden="1"/>
    </xf>
    <xf numFmtId="0" fontId="3" fillId="0" borderId="3" xfId="0" applyFont="1" applyBorder="1" applyAlignment="1" applyProtection="1">
      <alignment horizontal="left" vertical="center" indent="1"/>
      <protection hidden="1"/>
    </xf>
    <xf numFmtId="0" fontId="3" fillId="0" borderId="14" xfId="0" applyFont="1" applyBorder="1" applyAlignment="1" applyProtection="1">
      <alignment horizontal="left" vertical="center" indent="1"/>
      <protection hidden="1"/>
    </xf>
    <xf numFmtId="0" fontId="2" fillId="0" borderId="9" xfId="0" applyFont="1" applyBorder="1" applyAlignment="1" applyProtection="1">
      <alignment horizontal="center" vertical="center"/>
      <protection hidden="1"/>
    </xf>
    <xf numFmtId="4" fontId="2" fillId="0" borderId="7" xfId="0" applyNumberFormat="1" applyFont="1" applyBorder="1" applyAlignment="1" applyProtection="1">
      <alignment horizontal="right" vertical="center"/>
      <protection hidden="1"/>
    </xf>
    <xf numFmtId="4" fontId="2" fillId="0" borderId="0" xfId="0" applyNumberFormat="1" applyFont="1" applyAlignment="1" applyProtection="1">
      <alignment horizontal="right" vertical="center"/>
      <protection hidden="1"/>
    </xf>
    <xf numFmtId="4" fontId="2" fillId="0" borderId="8" xfId="0" applyNumberFormat="1" applyFont="1" applyBorder="1" applyAlignment="1" applyProtection="1">
      <alignment horizontal="right" vertical="center"/>
      <protection hidden="1"/>
    </xf>
    <xf numFmtId="4" fontId="3" fillId="0" borderId="1" xfId="0" applyNumberFormat="1" applyFont="1" applyBorder="1" applyAlignment="1" applyProtection="1">
      <alignment horizontal="right" vertical="center"/>
      <protection hidden="1"/>
    </xf>
    <xf numFmtId="0" fontId="3" fillId="0" borderId="12" xfId="0" applyFont="1" applyBorder="1" applyAlignment="1" applyProtection="1">
      <alignment horizontal="right" vertical="center" indent="1"/>
      <protection hidden="1"/>
    </xf>
    <xf numFmtId="0" fontId="2" fillId="0" borderId="23" xfId="0" applyFont="1" applyBorder="1" applyAlignment="1" applyProtection="1">
      <alignment horizontal="left" vertical="center"/>
      <protection hidden="1"/>
    </xf>
    <xf numFmtId="0" fontId="2" fillId="0" borderId="11" xfId="0" applyFont="1" applyBorder="1" applyAlignment="1" applyProtection="1">
      <alignment horizontal="left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2" xfId="0" applyFont="1" applyBorder="1" applyAlignment="1" applyProtection="1">
      <alignment horizontal="center" vertical="center"/>
      <protection hidden="1"/>
    </xf>
    <xf numFmtId="0" fontId="1" fillId="0" borderId="1" xfId="0" applyFont="1" applyBorder="1" applyAlignment="1" applyProtection="1">
      <alignment horizontal="center" vertical="center"/>
      <protection hidden="1"/>
    </xf>
    <xf numFmtId="0" fontId="1" fillId="0" borderId="12" xfId="0" applyFont="1" applyBorder="1" applyAlignment="1" applyProtection="1">
      <alignment horizontal="center" vertical="center"/>
      <protection hidden="1"/>
    </xf>
    <xf numFmtId="4" fontId="2" fillId="0" borderId="23" xfId="0" applyNumberFormat="1" applyFont="1" applyBorder="1" applyAlignment="1" applyProtection="1">
      <alignment horizontal="right" vertical="center"/>
      <protection hidden="1"/>
    </xf>
    <xf numFmtId="4" fontId="2" fillId="0" borderId="11" xfId="0" applyNumberFormat="1" applyFont="1" applyBorder="1" applyAlignment="1" applyProtection="1">
      <alignment horizontal="right" vertical="center"/>
      <protection hidden="1"/>
    </xf>
    <xf numFmtId="4" fontId="2" fillId="0" borderId="24" xfId="0" applyNumberFormat="1" applyFont="1" applyBorder="1" applyAlignment="1" applyProtection="1">
      <alignment horizontal="right" vertical="center"/>
      <protection hidden="1"/>
    </xf>
    <xf numFmtId="4" fontId="2" fillId="0" borderId="16" xfId="0" applyNumberFormat="1" applyFont="1" applyBorder="1" applyAlignment="1" applyProtection="1">
      <alignment horizontal="right" vertical="center"/>
      <protection hidden="1"/>
    </xf>
    <xf numFmtId="4" fontId="2" fillId="0" borderId="6" xfId="0" applyNumberFormat="1" applyFont="1" applyBorder="1" applyAlignment="1" applyProtection="1">
      <alignment horizontal="right" vertical="center"/>
      <protection hidden="1"/>
    </xf>
    <xf numFmtId="4" fontId="2" fillId="0" borderId="17" xfId="0" applyNumberFormat="1" applyFont="1" applyBorder="1" applyAlignment="1" applyProtection="1">
      <alignment horizontal="right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0" fillId="0" borderId="3" xfId="0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left" vertical="center"/>
      <protection locked="0"/>
    </xf>
    <xf numFmtId="0" fontId="2" fillId="0" borderId="2" xfId="0" applyFont="1" applyBorder="1" applyAlignment="1" applyProtection="1">
      <alignment horizontal="left" vertical="center"/>
      <protection locked="0"/>
    </xf>
    <xf numFmtId="0" fontId="2" fillId="0" borderId="12" xfId="0" applyFont="1" applyBorder="1" applyAlignment="1" applyProtection="1">
      <alignment horizontal="left" vertical="center"/>
      <protection locked="0"/>
    </xf>
    <xf numFmtId="0" fontId="2" fillId="0" borderId="26" xfId="0" applyFont="1" applyBorder="1" applyAlignment="1" applyProtection="1">
      <alignment horizontal="center" vertical="center"/>
      <protection hidden="1"/>
    </xf>
    <xf numFmtId="4" fontId="2" fillId="0" borderId="1" xfId="0" applyNumberFormat="1" applyFont="1" applyBorder="1" applyAlignment="1" applyProtection="1">
      <alignment horizontal="center" vertical="center"/>
      <protection hidden="1"/>
    </xf>
    <xf numFmtId="4" fontId="2" fillId="0" borderId="2" xfId="0" applyNumberFormat="1" applyFont="1" applyBorder="1" applyAlignment="1" applyProtection="1">
      <alignment horizontal="center" vertical="center"/>
      <protection hidden="1"/>
    </xf>
    <xf numFmtId="4" fontId="2" fillId="0" borderId="12" xfId="0" applyNumberFormat="1" applyFont="1" applyBorder="1" applyAlignment="1" applyProtection="1">
      <alignment horizontal="center" vertical="center"/>
      <protection hidden="1"/>
    </xf>
    <xf numFmtId="0" fontId="3" fillId="0" borderId="8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vertical="top"/>
      <protection hidden="1"/>
    </xf>
    <xf numFmtId="4" fontId="0" fillId="0" borderId="1" xfId="0" applyNumberFormat="1" applyBorder="1" applyAlignment="1" applyProtection="1">
      <alignment horizontal="right" vertical="center"/>
      <protection locked="0"/>
    </xf>
    <xf numFmtId="4" fontId="0" fillId="0" borderId="2" xfId="0" applyNumberFormat="1" applyBorder="1" applyAlignment="1" applyProtection="1">
      <alignment horizontal="right" vertical="center"/>
      <protection locked="0"/>
    </xf>
    <xf numFmtId="4" fontId="0" fillId="0" borderId="12" xfId="0" applyNumberFormat="1" applyBorder="1" applyAlignment="1" applyProtection="1">
      <alignment horizontal="right" vertical="center"/>
      <protection locked="0"/>
    </xf>
    <xf numFmtId="0" fontId="2" fillId="0" borderId="11" xfId="0" applyFont="1" applyBorder="1" applyAlignment="1" applyProtection="1">
      <alignment horizontal="center" vertical="center"/>
      <protection hidden="1"/>
    </xf>
    <xf numFmtId="0" fontId="2" fillId="0" borderId="24" xfId="0" applyFont="1" applyBorder="1" applyAlignment="1" applyProtection="1">
      <alignment horizontal="center" vertical="center"/>
      <protection hidden="1"/>
    </xf>
    <xf numFmtId="0" fontId="2" fillId="0" borderId="26" xfId="0" applyFont="1" applyBorder="1" applyAlignment="1" applyProtection="1">
      <alignment horizontal="left" vertical="center"/>
      <protection locked="0"/>
    </xf>
    <xf numFmtId="0" fontId="2" fillId="0" borderId="27" xfId="0" applyFont="1" applyBorder="1" applyAlignment="1" applyProtection="1">
      <alignment horizontal="left" vertical="center"/>
      <protection locked="0"/>
    </xf>
    <xf numFmtId="4" fontId="0" fillId="0" borderId="2" xfId="0" applyNumberFormat="1" applyBorder="1" applyAlignment="1" applyProtection="1">
      <alignment horizontal="right" vertical="center"/>
      <protection locked="0" hidden="1"/>
    </xf>
    <xf numFmtId="4" fontId="0" fillId="0" borderId="12" xfId="0" applyNumberFormat="1" applyBorder="1" applyAlignment="1" applyProtection="1">
      <alignment horizontal="right" vertical="center"/>
      <protection locked="0" hidden="1"/>
    </xf>
    <xf numFmtId="0" fontId="2" fillId="0" borderId="1" xfId="0" applyFont="1" applyBorder="1" applyAlignment="1" applyProtection="1">
      <alignment horizontal="right" vertical="center" indent="1"/>
      <protection hidden="1"/>
    </xf>
    <xf numFmtId="0" fontId="0" fillId="0" borderId="2" xfId="0" applyBorder="1" applyAlignment="1" applyProtection="1">
      <alignment horizontal="right" vertical="center" indent="1"/>
      <protection hidden="1"/>
    </xf>
    <xf numFmtId="0" fontId="0" fillId="0" borderId="12" xfId="0" applyBorder="1" applyAlignment="1" applyProtection="1">
      <alignment horizontal="right" vertical="center" indent="1"/>
      <protection hidden="1"/>
    </xf>
    <xf numFmtId="0" fontId="3" fillId="0" borderId="16" xfId="0" applyFont="1" applyBorder="1" applyAlignment="1" applyProtection="1">
      <alignment horizontal="right" vertical="center" indent="1"/>
      <protection hidden="1"/>
    </xf>
    <xf numFmtId="0" fontId="3" fillId="0" borderId="6" xfId="0" applyFont="1" applyBorder="1" applyAlignment="1" applyProtection="1">
      <alignment horizontal="right" vertical="center" indent="1"/>
      <protection hidden="1"/>
    </xf>
    <xf numFmtId="0" fontId="3" fillId="0" borderId="17" xfId="0" applyFont="1" applyBorder="1" applyAlignment="1" applyProtection="1">
      <alignment horizontal="right" vertical="center" indent="1"/>
      <protection hidden="1"/>
    </xf>
    <xf numFmtId="0" fontId="20" fillId="0" borderId="3" xfId="0" applyFont="1" applyBorder="1" applyAlignment="1" applyProtection="1">
      <alignment horizontal="center" vertical="center"/>
      <protection hidden="1"/>
    </xf>
    <xf numFmtId="0" fontId="12" fillId="2" borderId="1" xfId="0" applyFont="1" applyFill="1" applyBorder="1" applyAlignment="1" applyProtection="1">
      <alignment horizontal="center"/>
      <protection hidden="1"/>
    </xf>
    <xf numFmtId="0" fontId="12" fillId="2" borderId="2" xfId="0" applyFont="1" applyFill="1" applyBorder="1" applyAlignment="1" applyProtection="1">
      <alignment horizontal="center"/>
      <protection hidden="1"/>
    </xf>
    <xf numFmtId="0" fontId="12" fillId="2" borderId="12" xfId="0" applyFont="1" applyFill="1" applyBorder="1" applyAlignment="1" applyProtection="1">
      <alignment horizontal="center"/>
      <protection hidden="1"/>
    </xf>
    <xf numFmtId="0" fontId="12" fillId="0" borderId="0" xfId="0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</cellXfs>
  <cellStyles count="3">
    <cellStyle name="Link" xfId="1" builtinId="8"/>
    <cellStyle name="Normal" xfId="0" builtinId="0"/>
    <cellStyle name="Procent" xfId="2" builtinId="5"/>
  </cellStyles>
  <dxfs count="25">
    <dxf>
      <font>
        <color rgb="FFFF0000"/>
      </font>
      <fill>
        <patternFill>
          <bgColor theme="0" tint="-0.24994659260841701"/>
        </patternFill>
      </fill>
    </dxf>
    <dxf>
      <font>
        <strike val="0"/>
        <color auto="1"/>
      </font>
      <fill>
        <patternFill patternType="solid">
          <fgColor indexed="64"/>
          <bgColor rgb="FFFFC000"/>
        </patternFill>
      </fill>
    </dxf>
    <dxf>
      <font>
        <color auto="1"/>
      </font>
      <fill>
        <patternFill patternType="none">
          <bgColor indexed="65"/>
        </patternFill>
      </fill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color auto="1"/>
      </font>
      <fill>
        <patternFill>
          <bgColor rgb="FFFFC000"/>
        </patternFill>
      </fill>
    </dxf>
    <dxf>
      <font>
        <b/>
        <i val="0"/>
        <color auto="1"/>
      </font>
      <fill>
        <patternFill>
          <bgColor rgb="FFFFC000"/>
        </patternFill>
      </fill>
    </dxf>
    <dxf>
      <font>
        <strike val="0"/>
        <color theme="0"/>
      </font>
      <fill>
        <patternFill patternType="none">
          <bgColor auto="1"/>
        </patternFill>
      </fill>
      <border>
        <vertical/>
        <horizontal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ont>
        <color theme="0"/>
      </font>
      <fill>
        <patternFill>
          <bgColor theme="0"/>
        </patternFill>
      </fill>
      <border>
        <left/>
        <right/>
        <top/>
        <bottom/>
      </border>
    </dxf>
    <dxf>
      <fill>
        <patternFill>
          <bgColor theme="0" tint="-0.24994659260841701"/>
        </patternFill>
      </fill>
    </dxf>
    <dxf>
      <font>
        <b/>
        <i val="0"/>
        <strike val="0"/>
        <color auto="1"/>
        <name val="Cambria"/>
        <scheme val="none"/>
      </font>
      <fill>
        <patternFill patternType="solid">
          <bgColor theme="0" tint="-0.24994659260841701"/>
        </patternFill>
      </fill>
    </dxf>
    <dxf>
      <font>
        <color theme="0" tint="-0.24994659260841701"/>
      </font>
      <fill>
        <patternFill>
          <bgColor theme="0" tint="-0.24994659260841701"/>
        </patternFill>
      </fill>
    </dxf>
    <dxf>
      <fill>
        <patternFill>
          <bgColor rgb="FFFFC000"/>
        </patternFill>
      </fill>
    </dxf>
    <dxf>
      <font>
        <color rgb="FFFF0000"/>
      </font>
    </dxf>
    <dxf>
      <fill>
        <patternFill>
          <bgColor rgb="FFFFC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ctrlProps/ctrlProp1.xml><?xml version="1.0" encoding="utf-8"?>
<formControlPr xmlns="http://schemas.microsoft.com/office/spreadsheetml/2009/9/main" objectType="CheckBox" fmlaLink="G31" lockText="1" noThreeD="1"/>
</file>

<file path=xl/ctrlProps/ctrlProp2.xml><?xml version="1.0" encoding="utf-8"?>
<formControlPr xmlns="http://schemas.microsoft.com/office/spreadsheetml/2009/9/main" objectType="CheckBox" fmlaLink="J31" lockText="1" noThreeD="1"/>
</file>

<file path=xl/ctrlProps/ctrlProp3.xml><?xml version="1.0" encoding="utf-8"?>
<formControlPr xmlns="http://schemas.microsoft.com/office/spreadsheetml/2009/9/main" objectType="CheckBox" fmlaLink="G32" lockText="1" noThreeD="1"/>
</file>

<file path=xl/ctrlProps/ctrlProp4.xml><?xml version="1.0" encoding="utf-8"?>
<formControlPr xmlns="http://schemas.microsoft.com/office/spreadsheetml/2009/9/main" objectType="CheckBox" fmlaLink="J32" lockText="1" noThreeD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137160</xdr:colOff>
          <xdr:row>30</xdr:row>
          <xdr:rowOff>22860</xdr:rowOff>
        </xdr:from>
        <xdr:to>
          <xdr:col>7</xdr:col>
          <xdr:colOff>76200</xdr:colOff>
          <xdr:row>30</xdr:row>
          <xdr:rowOff>251460</xdr:rowOff>
        </xdr:to>
        <xdr:sp macro="" textlink="">
          <xdr:nvSpPr>
            <xdr:cNvPr id="3255" name="Check Box 183" hidden="1">
              <a:extLst>
                <a:ext uri="{63B3BB69-23CF-44E3-9099-C40C66FF867C}">
                  <a14:compatExt spid="_x0000_s3255"/>
                </a:ext>
                <a:ext uri="{FF2B5EF4-FFF2-40B4-BE49-F238E27FC236}">
                  <a16:creationId xmlns:a16="http://schemas.microsoft.com/office/drawing/2014/main" id="{00000000-0008-0000-0000-0000B7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365760</xdr:colOff>
          <xdr:row>30</xdr:row>
          <xdr:rowOff>22860</xdr:rowOff>
        </xdr:from>
        <xdr:to>
          <xdr:col>10</xdr:col>
          <xdr:colOff>114300</xdr:colOff>
          <xdr:row>30</xdr:row>
          <xdr:rowOff>251460</xdr:rowOff>
        </xdr:to>
        <xdr:sp macro="" textlink="">
          <xdr:nvSpPr>
            <xdr:cNvPr id="3478" name="Check Box 406" hidden="1">
              <a:extLst>
                <a:ext uri="{63B3BB69-23CF-44E3-9099-C40C66FF867C}">
                  <a14:compatExt spid="_x0000_s3478"/>
                </a:ext>
                <a:ext uri="{FF2B5EF4-FFF2-40B4-BE49-F238E27FC236}">
                  <a16:creationId xmlns:a16="http://schemas.microsoft.com/office/drawing/2014/main" id="{00000000-0008-0000-0000-0000960D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137160</xdr:colOff>
          <xdr:row>31</xdr:row>
          <xdr:rowOff>22860</xdr:rowOff>
        </xdr:from>
        <xdr:to>
          <xdr:col>7</xdr:col>
          <xdr:colOff>76200</xdr:colOff>
          <xdr:row>31</xdr:row>
          <xdr:rowOff>251460</xdr:rowOff>
        </xdr:to>
        <xdr:sp macro="" textlink="">
          <xdr:nvSpPr>
            <xdr:cNvPr id="21481" name="Check Box 16361" hidden="1">
              <a:extLst>
                <a:ext uri="{63B3BB69-23CF-44E3-9099-C40C66FF867C}">
                  <a14:compatExt spid="_x0000_s21481"/>
                </a:ext>
                <a:ext uri="{FF2B5EF4-FFF2-40B4-BE49-F238E27FC236}">
                  <a16:creationId xmlns:a16="http://schemas.microsoft.com/office/drawing/2014/main" id="{00000000-0008-0000-0000-0000E953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365760</xdr:colOff>
          <xdr:row>31</xdr:row>
          <xdr:rowOff>22860</xdr:rowOff>
        </xdr:from>
        <xdr:to>
          <xdr:col>10</xdr:col>
          <xdr:colOff>114300</xdr:colOff>
          <xdr:row>31</xdr:row>
          <xdr:rowOff>251460</xdr:rowOff>
        </xdr:to>
        <xdr:sp macro="" textlink="">
          <xdr:nvSpPr>
            <xdr:cNvPr id="21519" name="Check Box 16399" hidden="1">
              <a:extLst>
                <a:ext uri="{63B3BB69-23CF-44E3-9099-C40C66FF867C}">
                  <a14:compatExt spid="_x0000_s21519"/>
                </a:ext>
                <a:ext uri="{FF2B5EF4-FFF2-40B4-BE49-F238E27FC236}">
                  <a16:creationId xmlns:a16="http://schemas.microsoft.com/office/drawing/2014/main" id="{00000000-0008-0000-0000-00000F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9"/>
                  </a:solidFill>
                </a14:hiddenFill>
              </a:ext>
              <a:ext uri="{91240B29-F687-4F45-9708-019B960494DF}">
                <a14:hiddenLine w="317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  <xdr:twoCellAnchor>
    <xdr:from>
      <xdr:col>1</xdr:col>
      <xdr:colOff>266700</xdr:colOff>
      <xdr:row>46</xdr:row>
      <xdr:rowOff>95250</xdr:rowOff>
    </xdr:from>
    <xdr:to>
      <xdr:col>8</xdr:col>
      <xdr:colOff>9525</xdr:colOff>
      <xdr:row>48</xdr:row>
      <xdr:rowOff>66675</xdr:rowOff>
    </xdr:to>
    <xdr:sp macro="" textlink="">
      <xdr:nvSpPr>
        <xdr:cNvPr id="2" name="Tekstboks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571500" y="7753350"/>
          <a:ext cx="1362075" cy="42862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a-DK" sz="1800">
              <a:solidFill>
                <a:schemeClr val="bg1"/>
              </a:solidFill>
            </a:rPr>
            <a:t>Remember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</xdr:colOff>
      <xdr:row>3</xdr:row>
      <xdr:rowOff>121920</xdr:rowOff>
    </xdr:from>
    <xdr:to>
      <xdr:col>16</xdr:col>
      <xdr:colOff>72903</xdr:colOff>
      <xdr:row>57</xdr:row>
      <xdr:rowOff>106680</xdr:rowOff>
    </xdr:to>
    <xdr:pic>
      <xdr:nvPicPr>
        <xdr:cNvPr id="2" name="Billed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2860" y="510540"/>
          <a:ext cx="8828283" cy="6979920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317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4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3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2.xml"/><Relationship Id="rId5" Type="http://schemas.openxmlformats.org/officeDocument/2006/relationships/ctrlProp" Target="../ctrlProps/ctrlProp1.xml"/><Relationship Id="rId4" Type="http://schemas.openxmlformats.org/officeDocument/2006/relationships/vmlDrawing" Target="../drawings/vmlDrawing2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Ark1"/>
  <dimension ref="B1:BM87"/>
  <sheetViews>
    <sheetView showGridLines="0" showRowColHeaders="0" tabSelected="1" showWhiteSpace="0" topLeftCell="A14" zoomScale="90" zoomScaleNormal="90" zoomScaleSheetLayoutView="85" zoomScalePageLayoutView="50" workbookViewId="0">
      <selection activeCell="AF3" sqref="AF3:AO3"/>
    </sheetView>
  </sheetViews>
  <sheetFormatPr defaultColWidth="4.75" defaultRowHeight="10.199999999999999" x14ac:dyDescent="0.2"/>
  <cols>
    <col min="1" max="1" width="4.75" style="1"/>
    <col min="2" max="2" width="6.25" style="1" customWidth="1"/>
    <col min="3" max="3" width="3.375" style="1" customWidth="1"/>
    <col min="4" max="4" width="1.375" style="1" customWidth="1"/>
    <col min="5" max="5" width="3.75" style="1" customWidth="1"/>
    <col min="6" max="6" width="3.625" style="1" customWidth="1"/>
    <col min="7" max="7" width="2" style="1" customWidth="1"/>
    <col min="8" max="8" width="4.25" style="1" customWidth="1"/>
    <col min="9" max="9" width="6.25" style="1" customWidth="1"/>
    <col min="10" max="10" width="2.25" style="1" customWidth="1"/>
    <col min="11" max="11" width="2.75" style="1" customWidth="1"/>
    <col min="12" max="12" width="3.75" style="1" customWidth="1"/>
    <col min="13" max="13" width="2.75" style="1" customWidth="1"/>
    <col min="14" max="14" width="3.625" style="1" customWidth="1"/>
    <col min="15" max="15" width="2.75" style="1" customWidth="1"/>
    <col min="16" max="16" width="3.625" style="1" customWidth="1"/>
    <col min="17" max="17" width="3.375" style="1" customWidth="1"/>
    <col min="18" max="18" width="3.25" style="1" customWidth="1"/>
    <col min="19" max="19" width="4.25" style="1" customWidth="1"/>
    <col min="20" max="20" width="1.375" style="1" customWidth="1"/>
    <col min="21" max="21" width="1.25" style="1" customWidth="1"/>
    <col min="22" max="22" width="7.25" style="1" customWidth="1"/>
    <col min="23" max="24" width="0.625" style="1" customWidth="1"/>
    <col min="25" max="25" width="5.25" style="1" customWidth="1"/>
    <col min="26" max="26" width="0.75" style="1" customWidth="1"/>
    <col min="27" max="27" width="4.625" style="1" customWidth="1"/>
    <col min="28" max="28" width="4.75" style="1" customWidth="1"/>
    <col min="29" max="29" width="1" style="1" customWidth="1"/>
    <col min="30" max="31" width="4.25" style="1" customWidth="1"/>
    <col min="32" max="32" width="1.75" style="1" bestFit="1" customWidth="1"/>
    <col min="33" max="33" width="1.25" style="1" customWidth="1"/>
    <col min="34" max="35" width="2.375" style="1" customWidth="1"/>
    <col min="36" max="36" width="1" style="1" customWidth="1"/>
    <col min="37" max="37" width="3" style="1" customWidth="1"/>
    <col min="38" max="38" width="2.75" style="1" customWidth="1"/>
    <col min="39" max="39" width="3" style="1" customWidth="1"/>
    <col min="40" max="40" width="2.25" style="1" customWidth="1"/>
    <col min="41" max="41" width="4.75" style="1" customWidth="1"/>
    <col min="42" max="42" width="5" style="1" bestFit="1" customWidth="1"/>
    <col min="43" max="43" width="4.75" style="1"/>
    <col min="44" max="44" width="12.375" style="1" bestFit="1" customWidth="1"/>
    <col min="45" max="48" width="4.75" style="1"/>
    <col min="50" max="50" width="11.25" style="1" customWidth="1"/>
    <col min="51" max="51" width="9.375" style="1" customWidth="1"/>
    <col min="52" max="52" width="4.75" style="1"/>
    <col min="53" max="53" width="8.75" style="1" customWidth="1"/>
    <col min="54" max="54" width="8.25" customWidth="1"/>
    <col min="55" max="16384" width="4.75" style="1"/>
  </cols>
  <sheetData>
    <row r="1" spans="2:65" ht="15" customHeight="1" x14ac:dyDescent="0.2">
      <c r="B1" s="322" t="str">
        <f>IF(LANGUAGE="English","Aarhus University","Aarhus Universitet")</f>
        <v>Aarhus University</v>
      </c>
      <c r="C1" s="322"/>
      <c r="D1" s="322"/>
      <c r="E1" s="322"/>
      <c r="F1" s="322"/>
      <c r="G1" s="322"/>
      <c r="H1" s="322"/>
      <c r="I1" s="322"/>
      <c r="J1" s="322"/>
      <c r="K1" s="322"/>
      <c r="L1" s="322"/>
      <c r="M1" s="322"/>
      <c r="N1" s="322"/>
      <c r="O1" s="322"/>
      <c r="P1" s="322"/>
      <c r="Q1" s="17"/>
      <c r="R1" s="17"/>
      <c r="S1" s="17"/>
      <c r="T1" s="17"/>
      <c r="U1" s="17"/>
      <c r="V1" s="17"/>
      <c r="W1" s="17"/>
      <c r="X1" s="17"/>
      <c r="Y1" s="55" t="s">
        <v>167</v>
      </c>
      <c r="Z1" s="53"/>
      <c r="AC1" s="17"/>
      <c r="AD1" s="17"/>
      <c r="AE1" s="17"/>
      <c r="AF1" s="17"/>
      <c r="AG1" s="17"/>
      <c r="AH1" s="17"/>
      <c r="AI1" s="346" t="s">
        <v>157</v>
      </c>
      <c r="AJ1" s="346"/>
      <c r="AK1" s="346"/>
      <c r="AL1" s="346"/>
      <c r="AM1" s="346"/>
      <c r="AN1" s="346"/>
      <c r="AO1" s="346"/>
      <c r="AP1" s="18"/>
      <c r="AQ1" s="18"/>
      <c r="AR1" s="18"/>
      <c r="AS1" s="2"/>
      <c r="AT1" s="2"/>
      <c r="AU1" s="2"/>
      <c r="AV1" s="2"/>
      <c r="AW1" s="3"/>
      <c r="AX1" s="2"/>
      <c r="AY1" s="2"/>
    </row>
    <row r="2" spans="2:65" s="2" customFormat="1" ht="13.5" customHeight="1" x14ac:dyDescent="0.2">
      <c r="B2" s="322"/>
      <c r="C2" s="322"/>
      <c r="D2" s="322"/>
      <c r="E2" s="322"/>
      <c r="F2" s="322"/>
      <c r="G2" s="322"/>
      <c r="H2" s="322"/>
      <c r="I2" s="322"/>
      <c r="J2" s="322"/>
      <c r="K2" s="322"/>
      <c r="L2" s="322"/>
      <c r="M2" s="322"/>
      <c r="N2" s="322"/>
      <c r="O2" s="322"/>
      <c r="P2" s="322"/>
      <c r="Q2" s="164"/>
      <c r="R2" s="325"/>
      <c r="S2" s="325"/>
      <c r="T2" s="325"/>
      <c r="U2" s="325"/>
      <c r="V2" s="325"/>
      <c r="W2" s="325"/>
      <c r="X2" s="1"/>
      <c r="Y2" s="347" t="s">
        <v>171</v>
      </c>
      <c r="Z2" s="348"/>
      <c r="AA2" s="348"/>
      <c r="AB2" s="348"/>
      <c r="AC2" s="348"/>
      <c r="AD2" s="348"/>
      <c r="AL2" s="273" t="s">
        <v>154</v>
      </c>
      <c r="AM2" s="273"/>
      <c r="AN2" s="273"/>
      <c r="AO2" s="273"/>
      <c r="BC2" s="4"/>
      <c r="BD2" s="4"/>
      <c r="BE2" s="4"/>
    </row>
    <row r="3" spans="2:65" ht="15.75" customHeight="1" x14ac:dyDescent="0.2">
      <c r="B3" s="274" t="str">
        <f>IF(LANGUAGE="English","Travel Reimbursement:","Rejseafregning:")</f>
        <v>Travel Reimbursement:</v>
      </c>
      <c r="C3" s="274"/>
      <c r="D3" s="274"/>
      <c r="E3" s="274"/>
      <c r="F3" s="274"/>
      <c r="G3" s="274"/>
      <c r="H3" s="274"/>
      <c r="I3" s="274"/>
      <c r="J3" s="274"/>
      <c r="K3" s="274"/>
      <c r="L3" s="274"/>
      <c r="M3" s="274"/>
      <c r="N3" s="274"/>
      <c r="O3" s="274"/>
      <c r="P3" s="274"/>
      <c r="Q3" s="146"/>
      <c r="R3" s="62"/>
      <c r="S3" s="62"/>
      <c r="T3" s="62"/>
      <c r="U3" s="62"/>
      <c r="V3" s="62"/>
      <c r="W3" s="302" t="str">
        <f>IF(LANGUAGE="English","TAX Identification no. (TIN):"," ")</f>
        <v>TAX Identification no. (TIN):</v>
      </c>
      <c r="X3" s="303"/>
      <c r="Y3" s="303"/>
      <c r="Z3" s="303"/>
      <c r="AA3" s="303"/>
      <c r="AB3" s="303"/>
      <c r="AC3" s="303"/>
      <c r="AD3" s="303"/>
      <c r="AE3" s="304"/>
      <c r="AF3" s="305"/>
      <c r="AG3" s="306"/>
      <c r="AH3" s="306"/>
      <c r="AI3" s="306"/>
      <c r="AJ3" s="306"/>
      <c r="AK3" s="306"/>
      <c r="AL3" s="306"/>
      <c r="AM3" s="306"/>
      <c r="AN3" s="306"/>
      <c r="AO3" s="307"/>
      <c r="AP3" s="2"/>
      <c r="AQ3" s="2"/>
      <c r="AR3" s="2"/>
      <c r="AS3" s="2"/>
      <c r="AT3" s="2"/>
      <c r="AU3" s="2"/>
      <c r="AV3" s="2"/>
      <c r="AW3" s="3"/>
      <c r="AX3" s="2"/>
      <c r="AY3" s="2"/>
      <c r="AZ3" s="2"/>
      <c r="BA3" s="2"/>
      <c r="BB3" s="3"/>
      <c r="BC3" s="2"/>
      <c r="BD3" s="2"/>
      <c r="BE3" s="2"/>
      <c r="BF3" s="2"/>
    </row>
    <row r="4" spans="2:65" ht="6" customHeight="1" x14ac:dyDescent="0.2">
      <c r="B4" s="284"/>
      <c r="C4" s="285"/>
      <c r="D4" s="285"/>
      <c r="E4" s="285"/>
      <c r="F4" s="285"/>
      <c r="G4" s="285"/>
      <c r="H4" s="285"/>
      <c r="I4" s="285"/>
      <c r="J4" s="285"/>
      <c r="K4" s="285"/>
      <c r="L4" s="285"/>
      <c r="M4" s="285"/>
      <c r="N4" s="285"/>
      <c r="O4" s="285"/>
      <c r="P4" s="285"/>
      <c r="Q4" s="285"/>
      <c r="R4" s="285"/>
      <c r="S4" s="285"/>
      <c r="T4" s="285"/>
      <c r="U4" s="285"/>
      <c r="V4" s="285"/>
      <c r="W4" s="285"/>
      <c r="X4" s="285"/>
      <c r="Y4" s="285"/>
      <c r="Z4" s="285"/>
      <c r="AA4" s="285"/>
      <c r="AB4" s="285"/>
      <c r="AC4" s="285"/>
      <c r="AD4" s="285"/>
      <c r="AE4" s="285"/>
      <c r="AF4" s="285"/>
      <c r="AG4" s="285"/>
      <c r="AH4" s="285"/>
      <c r="AI4" s="285"/>
      <c r="AJ4" s="285"/>
      <c r="AK4" s="285"/>
      <c r="AL4" s="285"/>
      <c r="AM4" s="285"/>
      <c r="AN4" s="285"/>
      <c r="AO4" s="285"/>
      <c r="AP4" s="2"/>
      <c r="AQ4" s="2"/>
      <c r="AR4" s="2"/>
      <c r="AS4" s="2"/>
      <c r="AT4" s="2"/>
      <c r="AU4" s="2"/>
      <c r="AV4" s="2"/>
      <c r="AW4" s="3"/>
      <c r="AX4" s="2"/>
      <c r="AY4" s="2"/>
      <c r="AZ4" s="2"/>
      <c r="BA4" s="2"/>
      <c r="BB4" s="3"/>
      <c r="BC4" s="2"/>
      <c r="BD4" s="2"/>
      <c r="BE4" s="2"/>
      <c r="BF4" s="2"/>
    </row>
    <row r="5" spans="2:65" ht="18" customHeight="1" x14ac:dyDescent="0.2">
      <c r="B5" s="286" t="str">
        <f>IF(LANGUAGE="English","Occupation:","Stilling:")</f>
        <v>Occupation:</v>
      </c>
      <c r="C5" s="279"/>
      <c r="D5" s="279"/>
      <c r="E5" s="279"/>
      <c r="F5" s="280"/>
      <c r="G5" s="287"/>
      <c r="H5" s="288"/>
      <c r="I5" s="288"/>
      <c r="J5" s="288"/>
      <c r="K5" s="288"/>
      <c r="L5" s="288"/>
      <c r="M5" s="288"/>
      <c r="N5" s="288"/>
      <c r="O5" s="288"/>
      <c r="P5" s="288"/>
      <c r="Q5" s="288"/>
      <c r="R5" s="288"/>
      <c r="S5" s="288"/>
      <c r="T5" s="128"/>
      <c r="V5" s="127"/>
      <c r="W5" s="190" t="str">
        <f>IF(LANGUAGE="English","Date of birth (or CPR nr.)","CPR-nr. (skal udfyldes):")</f>
        <v>Date of birth (or CPR nr.)</v>
      </c>
      <c r="X5" s="191"/>
      <c r="Y5" s="292"/>
      <c r="Z5" s="292"/>
      <c r="AA5" s="292"/>
      <c r="AB5" s="292"/>
      <c r="AC5" s="292"/>
      <c r="AD5" s="292"/>
      <c r="AE5" s="293"/>
      <c r="AF5" s="298"/>
      <c r="AG5" s="299"/>
      <c r="AH5" s="300"/>
      <c r="AI5" s="300"/>
      <c r="AJ5" s="300"/>
      <c r="AK5" s="300"/>
      <c r="AL5" s="300"/>
      <c r="AM5" s="300"/>
      <c r="AN5" s="300"/>
      <c r="AO5" s="301"/>
      <c r="AP5" s="6"/>
      <c r="AQ5" s="6"/>
      <c r="AR5" s="144"/>
      <c r="AS5" s="6"/>
      <c r="AT5" s="6"/>
      <c r="AU5" s="6"/>
      <c r="AV5" s="6"/>
      <c r="AW5" s="5"/>
      <c r="AX5" s="6"/>
      <c r="AY5" s="6"/>
      <c r="AZ5" s="6"/>
      <c r="BA5" s="6"/>
      <c r="BB5" s="3"/>
      <c r="BC5" s="2"/>
      <c r="BD5" s="2"/>
      <c r="BE5" s="2"/>
      <c r="BF5" s="2"/>
    </row>
    <row r="6" spans="2:65" ht="18" customHeight="1" x14ac:dyDescent="0.2">
      <c r="B6" s="286" t="str">
        <f>IF(LANGUAGE="English","Name:","Navn:")</f>
        <v>Name:</v>
      </c>
      <c r="C6" s="279"/>
      <c r="D6" s="279"/>
      <c r="E6" s="279"/>
      <c r="F6" s="280"/>
      <c r="G6" s="309"/>
      <c r="H6" s="310"/>
      <c r="I6" s="310"/>
      <c r="J6" s="310"/>
      <c r="K6" s="310"/>
      <c r="L6" s="310"/>
      <c r="M6" s="310"/>
      <c r="N6" s="310"/>
      <c r="O6" s="310"/>
      <c r="P6" s="310"/>
      <c r="Q6" s="310"/>
      <c r="R6" s="310"/>
      <c r="S6" s="310"/>
      <c r="T6" s="128"/>
      <c r="W6" s="308" t="str">
        <f>IF(LANGUAGE="English","The reimbursement will be paid out to your NemKonto","Beløbet overføres til NemKontoen tilknyttet angivet CPR-nr.")</f>
        <v>The reimbursement will be paid out to your NemKonto</v>
      </c>
      <c r="X6" s="308"/>
      <c r="Y6" s="308"/>
      <c r="Z6" s="308"/>
      <c r="AA6" s="308"/>
      <c r="AB6" s="308"/>
      <c r="AC6" s="308"/>
      <c r="AD6" s="308"/>
      <c r="AE6" s="308"/>
      <c r="AF6" s="308"/>
      <c r="AG6" s="308"/>
      <c r="AH6" s="308"/>
      <c r="AI6" s="308"/>
      <c r="AJ6" s="308"/>
      <c r="AK6" s="308"/>
      <c r="AL6" s="308"/>
      <c r="AM6" s="308"/>
      <c r="AN6" s="308"/>
      <c r="AO6" s="308"/>
      <c r="AP6" s="6"/>
      <c r="AQ6" s="6"/>
      <c r="AR6" s="6"/>
      <c r="AS6" s="6"/>
      <c r="AT6" s="6"/>
      <c r="AU6" s="6"/>
      <c r="AV6" s="6"/>
      <c r="AW6" s="5"/>
      <c r="AX6" s="6"/>
      <c r="AY6" s="6"/>
      <c r="AZ6" s="6"/>
      <c r="BA6" s="6"/>
      <c r="BB6" s="3"/>
      <c r="BC6" s="2"/>
      <c r="BD6" s="2"/>
      <c r="BE6" s="2"/>
      <c r="BF6" s="2"/>
    </row>
    <row r="7" spans="2:65" ht="21" customHeight="1" x14ac:dyDescent="0.2">
      <c r="B7" s="286" t="str">
        <f>IF(LANGUAGE="English","Home address:","Privat adresse:")</f>
        <v>Home address:</v>
      </c>
      <c r="C7" s="279"/>
      <c r="D7" s="279"/>
      <c r="E7" s="279"/>
      <c r="F7" s="280"/>
      <c r="G7" s="234"/>
      <c r="H7" s="235"/>
      <c r="I7" s="235"/>
      <c r="J7" s="235"/>
      <c r="K7" s="235"/>
      <c r="L7" s="235"/>
      <c r="M7" s="235"/>
      <c r="N7" s="235"/>
      <c r="O7" s="235"/>
      <c r="P7" s="235"/>
      <c r="Q7" s="235"/>
      <c r="R7" s="235"/>
      <c r="S7" s="236"/>
      <c r="T7" s="128"/>
      <c r="V7" s="127"/>
      <c r="W7" s="237" t="s">
        <v>242</v>
      </c>
      <c r="X7" s="237"/>
      <c r="Y7" s="237"/>
      <c r="Z7" s="237"/>
      <c r="AA7" s="237"/>
      <c r="AB7" s="283"/>
      <c r="AC7" s="254" t="s">
        <v>193</v>
      </c>
      <c r="AD7" s="255"/>
      <c r="AE7" s="255"/>
      <c r="AF7" s="255"/>
      <c r="AG7" s="255"/>
      <c r="AH7" s="255"/>
      <c r="AI7" s="255"/>
      <c r="AJ7" s="255"/>
      <c r="AK7" s="256"/>
      <c r="AL7" s="249" t="str">
        <f>IF(Valuta="Other","Please enter","")</f>
        <v/>
      </c>
      <c r="AM7" s="250"/>
      <c r="AN7" s="250"/>
      <c r="AO7" s="251"/>
      <c r="AP7" s="6"/>
      <c r="AQ7" s="6"/>
      <c r="AR7" s="6"/>
      <c r="AS7" s="6"/>
      <c r="AT7" s="6"/>
      <c r="AU7" s="6"/>
      <c r="AV7" s="6"/>
      <c r="AW7" s="5"/>
      <c r="AX7" s="6"/>
      <c r="AY7" s="6"/>
      <c r="AZ7" s="6"/>
      <c r="BA7" s="6"/>
      <c r="BB7" s="3"/>
      <c r="BC7" s="2"/>
      <c r="BD7" s="2"/>
      <c r="BE7" s="2"/>
      <c r="BF7" s="2"/>
      <c r="BG7" s="2"/>
    </row>
    <row r="8" spans="2:65" ht="18" customHeight="1" x14ac:dyDescent="0.2">
      <c r="B8" s="289"/>
      <c r="C8" s="290"/>
      <c r="D8" s="290"/>
      <c r="E8" s="290"/>
      <c r="F8" s="291"/>
      <c r="G8" s="311"/>
      <c r="H8" s="312"/>
      <c r="I8" s="312"/>
      <c r="J8" s="312"/>
      <c r="K8" s="312"/>
      <c r="L8" s="312"/>
      <c r="M8" s="312"/>
      <c r="N8" s="312"/>
      <c r="O8" s="312"/>
      <c r="P8" s="312"/>
      <c r="Q8" s="312"/>
      <c r="R8" s="312"/>
      <c r="S8" s="313"/>
      <c r="T8" s="128"/>
      <c r="V8" s="127"/>
      <c r="W8" s="237" t="s">
        <v>243</v>
      </c>
      <c r="X8" s="237"/>
      <c r="Y8" s="237"/>
      <c r="Z8" s="237"/>
      <c r="AA8" s="237"/>
      <c r="AB8" s="237"/>
      <c r="AC8" s="245"/>
      <c r="AD8" s="246"/>
      <c r="AE8" s="246"/>
      <c r="AF8" s="246"/>
      <c r="AG8" s="246"/>
      <c r="AH8" s="246"/>
      <c r="AI8" s="246"/>
      <c r="AJ8" s="246"/>
      <c r="AK8" s="246"/>
      <c r="AL8" s="247"/>
      <c r="AM8" s="247"/>
      <c r="AN8" s="247"/>
      <c r="AO8" s="248"/>
      <c r="AP8" s="6"/>
      <c r="AQ8" s="6"/>
      <c r="AR8" s="6"/>
      <c r="AS8" s="6"/>
      <c r="AT8" s="6"/>
      <c r="AU8" s="6"/>
      <c r="AV8" s="6"/>
      <c r="AW8" s="5"/>
      <c r="AX8" s="6"/>
      <c r="AY8" s="6"/>
      <c r="AZ8" s="6"/>
      <c r="BA8" s="6"/>
      <c r="BB8" s="3"/>
      <c r="BC8" s="2"/>
      <c r="BD8" s="2"/>
      <c r="BE8" s="2"/>
      <c r="BF8" s="2"/>
      <c r="BG8" s="2"/>
    </row>
    <row r="9" spans="2:65" ht="18" customHeight="1" x14ac:dyDescent="0.2">
      <c r="B9" s="275" t="str">
        <f>IF(LANGUAGE="English","Postal Code &amp; City:","Postnr. og by:")</f>
        <v>Postal Code &amp; City:</v>
      </c>
      <c r="C9" s="276"/>
      <c r="D9" s="276"/>
      <c r="E9" s="276"/>
      <c r="F9" s="277"/>
      <c r="G9" s="261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3"/>
      <c r="T9" s="128"/>
      <c r="V9" s="127"/>
      <c r="W9" s="237" t="s">
        <v>244</v>
      </c>
      <c r="X9" s="237"/>
      <c r="Y9" s="237"/>
      <c r="Z9" s="237"/>
      <c r="AA9" s="237"/>
      <c r="AB9" s="237"/>
      <c r="AC9" s="252"/>
      <c r="AD9" s="252"/>
      <c r="AE9" s="252"/>
      <c r="AF9" s="252"/>
      <c r="AG9" s="252"/>
      <c r="AH9" s="252"/>
      <c r="AI9" s="252"/>
      <c r="AJ9" s="252"/>
      <c r="AK9" s="252"/>
      <c r="AL9" s="252"/>
      <c r="AM9" s="252"/>
      <c r="AN9" s="252"/>
      <c r="AO9" s="253"/>
      <c r="AP9" s="6"/>
      <c r="AQ9" s="6"/>
      <c r="AR9" s="53"/>
      <c r="AS9" s="53"/>
      <c r="AT9" s="53"/>
      <c r="AU9" s="53"/>
      <c r="AV9" s="53"/>
      <c r="AW9" s="53"/>
      <c r="AX9" s="6"/>
      <c r="AY9" s="6"/>
      <c r="AZ9" s="6"/>
      <c r="BA9" s="6"/>
      <c r="BB9" s="3"/>
      <c r="BC9" s="2"/>
      <c r="BD9" s="2"/>
      <c r="BE9" s="2"/>
      <c r="BF9" s="2"/>
      <c r="BG9" s="2"/>
    </row>
    <row r="10" spans="2:65" ht="15.75" customHeight="1" x14ac:dyDescent="0.2">
      <c r="B10" s="190" t="s">
        <v>155</v>
      </c>
      <c r="C10" s="191"/>
      <c r="D10" s="191"/>
      <c r="E10" s="191"/>
      <c r="F10" s="238"/>
      <c r="G10" s="257"/>
      <c r="H10" s="258"/>
      <c r="I10" s="258"/>
      <c r="J10" s="258"/>
      <c r="K10" s="258"/>
      <c r="L10" s="258"/>
      <c r="M10" s="258"/>
      <c r="N10" s="258"/>
      <c r="O10" s="258"/>
      <c r="P10" s="258"/>
      <c r="Q10" s="258"/>
      <c r="R10" s="258"/>
      <c r="S10" s="259"/>
      <c r="T10" s="129"/>
      <c r="V10" s="127"/>
      <c r="W10" s="237" t="s">
        <v>245</v>
      </c>
      <c r="X10" s="237"/>
      <c r="Y10" s="237"/>
      <c r="Z10" s="237"/>
      <c r="AA10" s="237"/>
      <c r="AB10" s="237"/>
      <c r="AC10" s="252"/>
      <c r="AD10" s="252"/>
      <c r="AE10" s="252"/>
      <c r="AF10" s="252"/>
      <c r="AG10" s="252"/>
      <c r="AH10" s="252"/>
      <c r="AI10" s="252"/>
      <c r="AJ10" s="252"/>
      <c r="AK10" s="252"/>
      <c r="AL10" s="252"/>
      <c r="AM10" s="252"/>
      <c r="AN10" s="252"/>
      <c r="AO10" s="253"/>
      <c r="AP10" s="6"/>
      <c r="AQ10" s="6"/>
      <c r="AR10" s="6"/>
      <c r="AS10" s="6"/>
      <c r="AT10" s="6"/>
      <c r="AU10" s="6"/>
      <c r="AV10" s="6"/>
      <c r="AW10" s="5"/>
      <c r="AX10" s="6"/>
      <c r="AY10" s="6"/>
      <c r="AZ10" s="6"/>
      <c r="BA10" s="6"/>
      <c r="BB10" s="3"/>
      <c r="BC10" s="2"/>
      <c r="BD10" s="2"/>
      <c r="BE10" s="2"/>
      <c r="BF10" s="2"/>
      <c r="BG10" s="2"/>
    </row>
    <row r="11" spans="2:65" ht="15.75" customHeight="1" x14ac:dyDescent="0.2">
      <c r="B11" s="6"/>
      <c r="V11" s="127"/>
      <c r="W11" s="237" t="s">
        <v>246</v>
      </c>
      <c r="X11" s="237"/>
      <c r="Y11" s="237"/>
      <c r="Z11" s="237"/>
      <c r="AA11" s="237"/>
      <c r="AB11" s="237"/>
      <c r="AC11" s="252"/>
      <c r="AD11" s="252"/>
      <c r="AE11" s="252"/>
      <c r="AF11" s="252"/>
      <c r="AG11" s="252"/>
      <c r="AH11" s="252"/>
      <c r="AI11" s="252"/>
      <c r="AJ11" s="252"/>
      <c r="AK11" s="252"/>
      <c r="AL11" s="252"/>
      <c r="AM11" s="252"/>
      <c r="AN11" s="252"/>
      <c r="AO11" s="253"/>
      <c r="AP11" s="6"/>
      <c r="AQ11" s="6"/>
      <c r="AR11" s="6"/>
      <c r="AS11" s="6"/>
      <c r="AT11" s="6"/>
      <c r="AU11" s="6"/>
      <c r="AV11" s="6"/>
      <c r="AW11" s="5"/>
      <c r="AX11" s="6"/>
      <c r="AY11" s="6"/>
      <c r="AZ11" s="6"/>
      <c r="BA11" s="6"/>
      <c r="BB11" s="3"/>
      <c r="BC11" s="2"/>
      <c r="BD11" s="2"/>
      <c r="BE11" s="2"/>
      <c r="BF11" s="2"/>
      <c r="BG11" s="2"/>
    </row>
    <row r="12" spans="2:65" ht="27" customHeight="1" x14ac:dyDescent="0.2">
      <c r="B12" s="21"/>
      <c r="V12" s="127"/>
      <c r="W12" s="260" t="s">
        <v>247</v>
      </c>
      <c r="X12" s="260"/>
      <c r="Y12" s="237"/>
      <c r="Z12" s="237"/>
      <c r="AA12" s="237"/>
      <c r="AB12" s="237"/>
      <c r="AC12" s="252"/>
      <c r="AD12" s="252"/>
      <c r="AE12" s="252"/>
      <c r="AF12" s="252"/>
      <c r="AG12" s="252"/>
      <c r="AH12" s="252"/>
      <c r="AI12" s="252"/>
      <c r="AJ12" s="252"/>
      <c r="AK12" s="252"/>
      <c r="AL12" s="252"/>
      <c r="AM12" s="252"/>
      <c r="AN12" s="252"/>
      <c r="AO12" s="253"/>
      <c r="AP12" s="6"/>
      <c r="AQ12" s="6"/>
      <c r="AR12" s="6"/>
      <c r="AS12" s="6"/>
      <c r="AT12" s="6"/>
      <c r="AU12" s="6"/>
      <c r="AV12" s="6"/>
      <c r="AW12" s="5"/>
      <c r="AX12" s="6"/>
      <c r="AY12" s="6"/>
      <c r="AZ12" s="6"/>
      <c r="BA12" s="6"/>
      <c r="BB12" s="3"/>
      <c r="BC12" s="2"/>
      <c r="BD12" s="2"/>
      <c r="BE12" s="2"/>
      <c r="BF12" s="2"/>
      <c r="BG12" s="2"/>
    </row>
    <row r="13" spans="2:65" ht="3.75" customHeight="1" x14ac:dyDescent="0.2">
      <c r="B13" s="226"/>
      <c r="C13" s="226"/>
      <c r="D13" s="226"/>
      <c r="E13" s="226"/>
      <c r="F13" s="226"/>
      <c r="G13" s="226"/>
      <c r="H13" s="226"/>
      <c r="I13" s="226"/>
      <c r="J13" s="226"/>
      <c r="K13" s="226"/>
      <c r="L13" s="226"/>
      <c r="M13" s="226"/>
      <c r="N13" s="226"/>
      <c r="O13" s="226"/>
      <c r="P13" s="226"/>
      <c r="Q13" s="226"/>
      <c r="R13" s="226"/>
      <c r="S13" s="226"/>
      <c r="T13" s="226"/>
      <c r="U13" s="226"/>
      <c r="V13" s="226"/>
      <c r="W13" s="226"/>
      <c r="X13" s="226"/>
      <c r="Y13" s="226"/>
      <c r="Z13" s="226"/>
      <c r="AA13" s="226"/>
      <c r="AB13" s="226"/>
      <c r="AC13" s="226"/>
      <c r="AD13" s="226"/>
      <c r="AE13" s="226"/>
      <c r="AF13" s="226"/>
      <c r="AG13" s="226"/>
      <c r="AH13" s="226"/>
      <c r="AI13" s="226"/>
      <c r="AJ13" s="226"/>
      <c r="AK13" s="226"/>
      <c r="AL13" s="226"/>
      <c r="AM13" s="226"/>
      <c r="AN13" s="226"/>
      <c r="AO13" s="226"/>
      <c r="AP13" s="6"/>
      <c r="AQ13" s="6"/>
      <c r="AR13" s="6"/>
      <c r="AS13" s="6"/>
      <c r="AT13" s="6"/>
      <c r="AU13" s="6"/>
      <c r="AV13" s="6"/>
      <c r="AW13" s="5"/>
      <c r="AX13" s="6"/>
      <c r="AY13" s="6"/>
      <c r="AZ13" s="6"/>
      <c r="BA13" s="6"/>
      <c r="BB13" s="3"/>
      <c r="BC13" s="2"/>
      <c r="BD13" s="2"/>
      <c r="BE13" s="2"/>
      <c r="BF13" s="2"/>
      <c r="BG13" s="2"/>
    </row>
    <row r="14" spans="2:65" ht="17.25" customHeight="1" x14ac:dyDescent="0.2">
      <c r="B14" s="278" t="str">
        <f>IF(LANGUAGE="English","Destination:","Rejsemål:")</f>
        <v>Destination:</v>
      </c>
      <c r="C14" s="279"/>
      <c r="D14" s="279"/>
      <c r="E14" s="279"/>
      <c r="F14" s="280"/>
      <c r="G14" s="294" t="str">
        <f>IF(LANGUAGE="English","Place:","Sted:")</f>
        <v>Place:</v>
      </c>
      <c r="H14" s="295"/>
      <c r="I14" s="269"/>
      <c r="J14" s="269"/>
      <c r="K14" s="269"/>
      <c r="L14" s="269"/>
      <c r="M14" s="269"/>
      <c r="N14" s="269"/>
      <c r="O14" s="269"/>
      <c r="P14" s="269"/>
      <c r="Q14" s="269"/>
      <c r="R14" s="269"/>
      <c r="S14" s="270"/>
      <c r="T14" s="128"/>
      <c r="V14" s="127"/>
      <c r="W14" s="182" t="str">
        <f>IF(LANGUAGE="English","Departure","Afrejse")</f>
        <v>Departure</v>
      </c>
      <c r="X14" s="183"/>
      <c r="Y14" s="183"/>
      <c r="Z14" s="183"/>
      <c r="AA14" s="184"/>
      <c r="AB14" s="242" t="str">
        <f>IF(LANGUAGE="English","Date (dd-mm-yyyy):","Dato (dd-mm-åååå):")</f>
        <v>Date (dd-mm-yyyy):</v>
      </c>
      <c r="AC14" s="243"/>
      <c r="AD14" s="243"/>
      <c r="AE14" s="243"/>
      <c r="AF14" s="243"/>
      <c r="AG14" s="243"/>
      <c r="AH14" s="243"/>
      <c r="AI14" s="243"/>
      <c r="AJ14" s="243"/>
      <c r="AK14" s="244"/>
      <c r="AL14" s="192" t="str">
        <f>IF(LANGUAGE="English","Time (hh:mm):","Kl. (tt:mm):")</f>
        <v>Time (hh:mm):</v>
      </c>
      <c r="AM14" s="264"/>
      <c r="AN14" s="264"/>
      <c r="AO14" s="265"/>
      <c r="AP14" s="6"/>
      <c r="AQ14" s="6"/>
      <c r="AR14" s="62"/>
      <c r="AS14" s="6"/>
      <c r="AT14" s="6"/>
      <c r="AU14" s="6"/>
      <c r="AV14" s="6"/>
      <c r="AW14" s="5"/>
      <c r="AX14" s="6"/>
      <c r="AY14" s="6"/>
      <c r="AZ14" s="6"/>
      <c r="BA14" s="6"/>
      <c r="BB14" s="3"/>
      <c r="BC14" s="2"/>
      <c r="BD14" s="2"/>
      <c r="BE14" s="2"/>
      <c r="BF14" s="2"/>
      <c r="BG14" s="2"/>
    </row>
    <row r="15" spans="2:65" ht="15.75" customHeight="1" x14ac:dyDescent="0.2">
      <c r="B15" s="275"/>
      <c r="C15" s="281"/>
      <c r="D15" s="281"/>
      <c r="E15" s="281"/>
      <c r="F15" s="282"/>
      <c r="G15" s="266" t="str">
        <f>IF(LANGUAGE="English","Country:","Land:")</f>
        <v>Country:</v>
      </c>
      <c r="H15" s="267"/>
      <c r="I15" s="268"/>
      <c r="J15" s="296" t="s">
        <v>82</v>
      </c>
      <c r="K15" s="297"/>
      <c r="L15" s="297"/>
      <c r="M15" s="297"/>
      <c r="N15" s="297"/>
      <c r="O15" s="297"/>
      <c r="P15" s="297"/>
      <c r="Q15" s="297"/>
      <c r="R15" s="22"/>
      <c r="S15" s="23"/>
      <c r="T15" s="128"/>
      <c r="V15" s="127"/>
      <c r="W15" s="185"/>
      <c r="X15" s="186"/>
      <c r="Y15" s="186"/>
      <c r="Z15" s="186"/>
      <c r="AA15" s="187"/>
      <c r="AB15" s="221"/>
      <c r="AC15" s="222"/>
      <c r="AD15" s="24" t="s">
        <v>1</v>
      </c>
      <c r="AE15" s="121"/>
      <c r="AF15" s="142" t="s">
        <v>1</v>
      </c>
      <c r="AG15" s="357">
        <v>2026</v>
      </c>
      <c r="AH15" s="357"/>
      <c r="AI15" s="357"/>
      <c r="AJ15" s="357"/>
      <c r="AK15" s="358"/>
      <c r="AL15" s="180"/>
      <c r="AM15" s="181"/>
      <c r="AN15" s="25" t="s">
        <v>2</v>
      </c>
      <c r="AO15" s="122"/>
      <c r="AP15" s="6"/>
      <c r="AQ15" s="6"/>
      <c r="AR15" s="6"/>
      <c r="AS15" s="6"/>
      <c r="AT15" s="6"/>
      <c r="AU15" s="6"/>
      <c r="AV15" s="6"/>
      <c r="AW15" s="5"/>
      <c r="AX15" s="6"/>
      <c r="AY15" s="6"/>
      <c r="AZ15" s="6"/>
      <c r="BA15" s="6"/>
      <c r="BB15" s="3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</row>
    <row r="16" spans="2:65" ht="16.5" customHeight="1" x14ac:dyDescent="0.2">
      <c r="B16" s="192" t="str">
        <f>IF(LANGUAGE="English","Purpose of trip:","Rejsens formål:")</f>
        <v>Purpose of trip:</v>
      </c>
      <c r="C16" s="264"/>
      <c r="D16" s="264"/>
      <c r="E16" s="264"/>
      <c r="F16" s="265"/>
      <c r="G16" s="368"/>
      <c r="H16" s="369"/>
      <c r="I16" s="369"/>
      <c r="J16" s="369"/>
      <c r="K16" s="369"/>
      <c r="L16" s="369"/>
      <c r="M16" s="369"/>
      <c r="N16" s="369"/>
      <c r="O16" s="369"/>
      <c r="P16" s="369"/>
      <c r="Q16" s="369"/>
      <c r="R16" s="369"/>
      <c r="S16" s="370"/>
      <c r="T16" s="128"/>
      <c r="V16" s="127"/>
      <c r="W16" s="182" t="str">
        <f>IF(LANGUAGE="English","Return","Hjemkomst")</f>
        <v>Return</v>
      </c>
      <c r="X16" s="183"/>
      <c r="Y16" s="183"/>
      <c r="Z16" s="183"/>
      <c r="AA16" s="184"/>
      <c r="AB16" s="242" t="str">
        <f>IF(LANGUAGE="English","Date (dd-mm-yyyy):","Dato (dd-mm-åååå):")</f>
        <v>Date (dd-mm-yyyy):</v>
      </c>
      <c r="AC16" s="243"/>
      <c r="AD16" s="243"/>
      <c r="AE16" s="243"/>
      <c r="AF16" s="243"/>
      <c r="AG16" s="243"/>
      <c r="AH16" s="243"/>
      <c r="AI16" s="243"/>
      <c r="AJ16" s="243"/>
      <c r="AK16" s="244"/>
      <c r="AL16" s="192" t="str">
        <f>IF(LANGUAGE="English","Time (hh:mm):","Kl. (tt:mm):")</f>
        <v>Time (hh:mm):</v>
      </c>
      <c r="AM16" s="264"/>
      <c r="AN16" s="264"/>
      <c r="AO16" s="265"/>
      <c r="AP16" s="6"/>
      <c r="AQ16" s="6"/>
      <c r="AR16" s="6"/>
      <c r="AS16" s="6"/>
      <c r="AT16" s="6"/>
      <c r="AU16" s="6"/>
      <c r="AV16" s="6"/>
      <c r="AW16" s="5"/>
      <c r="AX16" s="6"/>
      <c r="AY16" s="6"/>
      <c r="AZ16" s="6"/>
      <c r="BA16" s="6"/>
      <c r="BB16" s="3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</row>
    <row r="17" spans="2:65" ht="14.25" customHeight="1" x14ac:dyDescent="0.2">
      <c r="B17" s="175"/>
      <c r="C17" s="176"/>
      <c r="D17" s="176"/>
      <c r="E17" s="176"/>
      <c r="F17" s="271"/>
      <c r="G17" s="371"/>
      <c r="H17" s="372"/>
      <c r="I17" s="372"/>
      <c r="J17" s="372"/>
      <c r="K17" s="372"/>
      <c r="L17" s="372"/>
      <c r="M17" s="372"/>
      <c r="N17" s="372"/>
      <c r="O17" s="372"/>
      <c r="P17" s="372"/>
      <c r="Q17" s="372"/>
      <c r="R17" s="372"/>
      <c r="S17" s="373"/>
      <c r="T17" s="128"/>
      <c r="V17" s="127"/>
      <c r="W17" s="185"/>
      <c r="X17" s="186"/>
      <c r="Y17" s="186"/>
      <c r="Z17" s="186"/>
      <c r="AA17" s="187"/>
      <c r="AB17" s="221"/>
      <c r="AC17" s="222"/>
      <c r="AD17" s="24" t="s">
        <v>1</v>
      </c>
      <c r="AE17" s="121"/>
      <c r="AF17" s="24" t="s">
        <v>1</v>
      </c>
      <c r="AG17" s="188">
        <v>2026</v>
      </c>
      <c r="AH17" s="188"/>
      <c r="AI17" s="188"/>
      <c r="AJ17" s="188"/>
      <c r="AK17" s="189"/>
      <c r="AL17" s="180"/>
      <c r="AM17" s="181"/>
      <c r="AN17" s="25" t="s">
        <v>2</v>
      </c>
      <c r="AO17" s="122"/>
      <c r="AP17" s="6"/>
      <c r="AQ17" s="6"/>
      <c r="AR17" s="6"/>
      <c r="AS17" s="6"/>
      <c r="AT17" s="6"/>
      <c r="AU17" s="6"/>
      <c r="AV17" s="6"/>
      <c r="AW17" s="5"/>
      <c r="AX17" s="6"/>
      <c r="AY17" s="6"/>
      <c r="AZ17" s="6"/>
      <c r="BA17" s="6"/>
      <c r="BB17" s="3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</row>
    <row r="18" spans="2:65" ht="15" customHeight="1" x14ac:dyDescent="0.2">
      <c r="B18" s="194"/>
      <c r="C18" s="197"/>
      <c r="D18" s="197"/>
      <c r="E18" s="197"/>
      <c r="F18" s="272"/>
      <c r="G18" s="374"/>
      <c r="H18" s="375"/>
      <c r="I18" s="375"/>
      <c r="J18" s="375"/>
      <c r="K18" s="375"/>
      <c r="L18" s="375"/>
      <c r="M18" s="375"/>
      <c r="N18" s="375"/>
      <c r="O18" s="375"/>
      <c r="P18" s="375"/>
      <c r="Q18" s="375"/>
      <c r="R18" s="375"/>
      <c r="S18" s="376"/>
      <c r="T18" s="128"/>
      <c r="V18" s="127"/>
      <c r="W18" s="223" t="str">
        <f>IF(LANGUAGE="English","Duration","Varighed")</f>
        <v>Duration</v>
      </c>
      <c r="X18" s="224"/>
      <c r="Y18" s="224"/>
      <c r="Z18" s="224"/>
      <c r="AA18" s="225"/>
      <c r="AB18" s="15" t="str">
        <f>IF(LANGUAGE="English","Days:","Døgn:")</f>
        <v>Days:</v>
      </c>
      <c r="AC18" s="16"/>
      <c r="AD18" s="377" t="str">
        <f>IF(AB15*AE15*AG15*AB17*AE17*AG17=0,"",IF(DATE(AG17,AE17,AB17)-DATE(AG15,AE15,AB15)&lt;0,Beregninger!M20,DATE(AG17,AE17,AB17)-DATE(AG15,AE15,AB15)-IF(TIME(AL17,AO17,0)&lt;TIME(AL15,AO15,0),1,0)))</f>
        <v/>
      </c>
      <c r="AE18" s="378"/>
      <c r="AF18" s="378"/>
      <c r="AG18" s="378"/>
      <c r="AH18" s="378"/>
      <c r="AI18" s="378"/>
      <c r="AJ18" s="378"/>
      <c r="AK18" s="379"/>
      <c r="AL18" s="27" t="str">
        <f>IF(LANGUAGE="English","Hours:","Timer:")</f>
        <v>Hours:</v>
      </c>
      <c r="AM18" s="28"/>
      <c r="AN18" s="161" t="str">
        <f>IF(OR(AD18="",AL17="",AO17="",AL15="",AO15=""),"",MIN(HOUR((TIME(23,59,59)-TIME(AL15,AO15,0))+TIME(AL17,AO17,59))+IF(MINUTE((TIME(23,59,59)-TIME(AL15,AO15,0))+TIME(AL17,AO17,59))&gt;=30,1,0),23))</f>
        <v/>
      </c>
      <c r="AO18" s="162"/>
      <c r="AP18" s="6"/>
      <c r="AQ18" s="6"/>
      <c r="AR18" s="6"/>
      <c r="AS18" s="6"/>
      <c r="AT18" s="6"/>
      <c r="AU18" s="6"/>
      <c r="AV18" s="6"/>
      <c r="AW18" s="5"/>
      <c r="AX18" s="6"/>
      <c r="AY18" s="6"/>
      <c r="AZ18" s="6"/>
      <c r="BA18" s="6"/>
      <c r="BB18" s="3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</row>
    <row r="19" spans="2:65" ht="9.75" customHeight="1" x14ac:dyDescent="0.2">
      <c r="B19" s="20"/>
      <c r="C19" s="20"/>
      <c r="D19" s="20"/>
      <c r="E19" s="20"/>
      <c r="F19" s="20"/>
      <c r="G19" s="20"/>
      <c r="H19" s="239"/>
      <c r="I19" s="240"/>
      <c r="J19" s="240"/>
      <c r="K19" s="240"/>
      <c r="L19" s="240"/>
      <c r="M19" s="240"/>
      <c r="N19" s="240"/>
      <c r="O19" s="240"/>
      <c r="P19" s="240"/>
      <c r="Q19" s="240"/>
      <c r="R19" s="240"/>
      <c r="S19" s="240"/>
      <c r="T19" s="240"/>
      <c r="U19" s="240"/>
      <c r="V19" s="240"/>
      <c r="W19" s="240"/>
      <c r="X19" s="240"/>
      <c r="Y19" s="240"/>
      <c r="Z19" s="240"/>
      <c r="AA19" s="240"/>
      <c r="AB19" s="241"/>
      <c r="AC19" s="241"/>
      <c r="AD19" s="241"/>
      <c r="AE19" s="241"/>
      <c r="AF19" s="20"/>
      <c r="AG19" s="20"/>
      <c r="AH19" s="20"/>
      <c r="AI19" s="20"/>
      <c r="AJ19" s="20"/>
      <c r="AK19" s="20"/>
      <c r="AL19" s="20"/>
      <c r="AM19" s="20"/>
      <c r="AN19" s="20"/>
      <c r="AO19" s="20"/>
      <c r="AP19" s="6"/>
      <c r="AQ19" s="6"/>
      <c r="AR19" s="6"/>
      <c r="AS19" s="6"/>
      <c r="AT19" s="6"/>
      <c r="AU19" s="6"/>
      <c r="AV19" s="6"/>
      <c r="AW19" s="5"/>
      <c r="AX19" s="6"/>
      <c r="AY19" s="6"/>
      <c r="AZ19" s="6"/>
      <c r="BA19" s="6"/>
      <c r="BB19" s="3"/>
      <c r="BC19" s="2"/>
      <c r="BD19" s="2"/>
      <c r="BE19" s="2"/>
      <c r="BF19" s="2"/>
      <c r="BG19" s="2"/>
      <c r="BH19" s="2"/>
      <c r="BI19" s="2"/>
      <c r="BJ19" s="2"/>
      <c r="BK19" s="2"/>
      <c r="BL19" s="2"/>
      <c r="BM19" s="2"/>
    </row>
    <row r="20" spans="2:65" ht="8.25" customHeight="1" x14ac:dyDescent="0.2">
      <c r="B20" s="111"/>
      <c r="C20" s="111"/>
      <c r="D20" s="111"/>
      <c r="E20" s="112"/>
      <c r="F20" s="112"/>
      <c r="G20" s="112"/>
      <c r="H20" s="112" t="s">
        <v>225</v>
      </c>
      <c r="I20" s="112"/>
      <c r="J20" s="112"/>
      <c r="K20" s="112" t="str">
        <f>Valuta</f>
        <v>EUR</v>
      </c>
      <c r="L20" s="113"/>
      <c r="M20" s="112"/>
      <c r="N20" s="112"/>
      <c r="O20" s="112"/>
      <c r="P20" s="112"/>
      <c r="Q20" s="112"/>
      <c r="R20" s="112"/>
      <c r="S20" s="114" t="s">
        <v>226</v>
      </c>
      <c r="T20" s="158">
        <v>100</v>
      </c>
      <c r="U20" s="158"/>
      <c r="V20" s="158"/>
      <c r="W20" s="158" t="str">
        <f>Valuta</f>
        <v>EUR</v>
      </c>
      <c r="X20" s="158"/>
      <c r="Y20" s="158"/>
      <c r="Z20" s="112" t="s">
        <v>227</v>
      </c>
      <c r="AA20" s="112">
        <f>IF(Valuta2=Valuta,kurs1,kurs2)</f>
        <v>0</v>
      </c>
      <c r="AB20" s="158" t="s">
        <v>8</v>
      </c>
      <c r="AC20" s="158"/>
      <c r="AD20" s="111"/>
      <c r="AE20" s="111"/>
      <c r="AF20" s="111"/>
      <c r="AG20" s="111"/>
      <c r="AH20" s="111"/>
      <c r="AI20" s="111"/>
      <c r="AJ20" s="111"/>
      <c r="AK20" s="111"/>
      <c r="AL20" s="111"/>
      <c r="AM20" s="111"/>
      <c r="AN20" s="111"/>
      <c r="AO20" s="111"/>
      <c r="AP20" s="6"/>
      <c r="AQ20" s="6"/>
      <c r="AR20" s="6"/>
      <c r="AS20" s="6"/>
      <c r="AT20" s="6"/>
      <c r="AU20" s="6"/>
      <c r="AV20" s="6"/>
      <c r="AW20" s="5"/>
      <c r="AX20" s="6"/>
      <c r="AY20" s="6"/>
      <c r="AZ20" s="6"/>
      <c r="BA20" s="6"/>
      <c r="BB20" s="3"/>
      <c r="BC20" s="2"/>
      <c r="BD20" s="2"/>
      <c r="BE20" s="2"/>
      <c r="BF20" s="2"/>
      <c r="BG20" s="2"/>
      <c r="BH20" s="2"/>
      <c r="BI20" s="2"/>
      <c r="BJ20" s="2"/>
      <c r="BK20" s="2"/>
      <c r="BL20" s="2"/>
      <c r="BM20" s="2"/>
    </row>
    <row r="21" spans="2:65" ht="14.25" customHeight="1" x14ac:dyDescent="0.2">
      <c r="B21" s="335" t="str">
        <f>IF(LANGUAGE="English","Expenses","Udgifter")</f>
        <v>Expenses</v>
      </c>
      <c r="C21" s="336"/>
      <c r="D21" s="336"/>
      <c r="E21" s="336"/>
      <c r="F21" s="336"/>
      <c r="G21" s="336"/>
      <c r="H21" s="336"/>
      <c r="I21" s="336"/>
      <c r="J21" s="336"/>
      <c r="K21" s="336"/>
      <c r="L21" s="336"/>
      <c r="M21" s="336"/>
      <c r="N21" s="336"/>
      <c r="O21" s="336"/>
      <c r="P21" s="336"/>
      <c r="Q21" s="336"/>
      <c r="R21" s="337"/>
      <c r="S21" s="218" t="str">
        <f>IF(LANGUAGE="English","Currency 1","Valuta 1")</f>
        <v>Currency 1</v>
      </c>
      <c r="T21" s="219"/>
      <c r="U21" s="219"/>
      <c r="V21" s="219"/>
      <c r="W21" s="220"/>
      <c r="X21" s="131"/>
      <c r="Y21" s="218" t="str">
        <f>IF(LANGUAGE="English","Currency 2","Valuta 2")</f>
        <v>Currency 2</v>
      </c>
      <c r="Z21" s="219"/>
      <c r="AA21" s="219"/>
      <c r="AB21" s="219"/>
      <c r="AC21" s="220"/>
      <c r="AD21" s="218" t="str">
        <f>IF(LANGUAGE="English","Currency 3","Valuta 3")</f>
        <v>Currency 3</v>
      </c>
      <c r="AE21" s="219"/>
      <c r="AF21" s="219"/>
      <c r="AG21" s="219"/>
      <c r="AH21" s="219"/>
      <c r="AI21" s="219"/>
      <c r="AJ21" s="219"/>
      <c r="AK21" s="216" t="str">
        <f>IF(LANGUAGE="English","Currency","Valuta")</f>
        <v>Currency</v>
      </c>
      <c r="AL21" s="217"/>
      <c r="AM21" s="217"/>
      <c r="AN21" s="217"/>
      <c r="AO21" s="59" t="str">
        <f>IF(AND(OR(Valuta=Valuta2,Valuta=Valuta3),Valuta&lt;&gt;""),Valuta,"DKK")</f>
        <v>DKK</v>
      </c>
      <c r="AP21" s="6"/>
      <c r="AQ21" s="6"/>
      <c r="AR21" s="6"/>
      <c r="AS21" s="6"/>
      <c r="AT21" s="6"/>
      <c r="AU21" s="6"/>
      <c r="AV21" s="6"/>
      <c r="AW21" s="5"/>
      <c r="AX21" s="6"/>
      <c r="AY21" s="6"/>
      <c r="AZ21" s="6"/>
      <c r="BA21" s="6"/>
      <c r="BB21" s="3"/>
      <c r="BC21" s="2"/>
      <c r="BD21" s="2"/>
      <c r="BE21" s="2"/>
      <c r="BF21" s="2"/>
      <c r="BG21" s="2"/>
      <c r="BH21" s="2"/>
      <c r="BI21" s="2"/>
      <c r="BJ21" s="2"/>
      <c r="BK21" s="2"/>
      <c r="BL21" s="2"/>
      <c r="BM21" s="2"/>
    </row>
    <row r="22" spans="2:65" ht="12.75" customHeight="1" x14ac:dyDescent="0.2">
      <c r="B22" s="338"/>
      <c r="C22" s="339"/>
      <c r="D22" s="339"/>
      <c r="E22" s="339"/>
      <c r="F22" s="339"/>
      <c r="G22" s="339"/>
      <c r="H22" s="339"/>
      <c r="I22" s="339"/>
      <c r="J22" s="339"/>
      <c r="K22" s="339"/>
      <c r="L22" s="339"/>
      <c r="M22" s="339"/>
      <c r="N22" s="339"/>
      <c r="O22" s="339"/>
      <c r="P22" s="339"/>
      <c r="Q22" s="339"/>
      <c r="R22" s="340"/>
      <c r="S22" s="26" t="str">
        <f>IF(LANGUAGE="English","Name:","Navn:")</f>
        <v>Name:</v>
      </c>
      <c r="T22" s="21"/>
      <c r="U22" s="159" t="s">
        <v>8</v>
      </c>
      <c r="V22" s="160"/>
      <c r="W22" s="32"/>
      <c r="X22" s="6"/>
      <c r="Y22" s="26" t="str">
        <f>IF(LANGUAGE="English","Name:","Navn:")</f>
        <v>Name:</v>
      </c>
      <c r="Z22" s="21"/>
      <c r="AA22" s="345"/>
      <c r="AB22" s="160"/>
      <c r="AC22" s="32"/>
      <c r="AD22" s="175" t="s">
        <v>161</v>
      </c>
      <c r="AE22" s="176"/>
      <c r="AF22" s="159"/>
      <c r="AG22" s="356"/>
      <c r="AH22" s="356"/>
      <c r="AI22" s="160"/>
      <c r="AJ22" s="33"/>
      <c r="AK22" s="56"/>
      <c r="AL22" s="57"/>
      <c r="AM22" s="57"/>
      <c r="AN22" s="57"/>
      <c r="AO22" s="58"/>
      <c r="AP22" s="6"/>
      <c r="AQ22" s="6"/>
      <c r="AR22" s="308"/>
      <c r="AS22" s="355"/>
      <c r="AT22" s="355"/>
      <c r="AU22" s="355"/>
      <c r="AV22" s="355"/>
      <c r="AW22" s="5"/>
      <c r="AX22" s="6"/>
      <c r="AY22" s="6"/>
      <c r="AZ22" s="6"/>
      <c r="BA22" s="6"/>
      <c r="BB22" s="3"/>
      <c r="BC22" s="2"/>
      <c r="BD22" s="2"/>
      <c r="BE22" s="2"/>
      <c r="BF22" s="2"/>
      <c r="BG22" s="2"/>
      <c r="BH22" s="2"/>
      <c r="BI22" s="2"/>
      <c r="BJ22" s="2"/>
      <c r="BK22" s="2"/>
      <c r="BL22" s="2"/>
      <c r="BM22" s="2"/>
    </row>
    <row r="23" spans="2:65" ht="3" customHeight="1" x14ac:dyDescent="0.2">
      <c r="B23" s="29"/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1"/>
      <c r="S23" s="163"/>
      <c r="T23" s="164"/>
      <c r="U23" s="164"/>
      <c r="V23" s="164"/>
      <c r="W23" s="165"/>
      <c r="X23" s="8"/>
      <c r="Y23" s="163"/>
      <c r="Z23" s="164"/>
      <c r="AA23" s="164"/>
      <c r="AB23" s="164"/>
      <c r="AC23" s="165"/>
      <c r="AD23" s="163"/>
      <c r="AE23" s="164"/>
      <c r="AF23" s="164"/>
      <c r="AG23" s="164"/>
      <c r="AH23" s="164"/>
      <c r="AI23" s="164"/>
      <c r="AJ23" s="396"/>
      <c r="AK23" s="210" t="s">
        <v>6</v>
      </c>
      <c r="AL23" s="211"/>
      <c r="AM23" s="211"/>
      <c r="AN23" s="211"/>
      <c r="AO23" s="212"/>
      <c r="AP23" s="6"/>
      <c r="AQ23" s="6"/>
      <c r="AR23" s="6"/>
      <c r="AS23" s="6"/>
      <c r="AT23" s="6"/>
      <c r="AU23" s="6"/>
      <c r="AV23" s="6"/>
      <c r="AW23" s="5"/>
      <c r="AX23" s="6"/>
      <c r="AY23" s="6"/>
      <c r="AZ23" s="6"/>
      <c r="BA23" s="6"/>
      <c r="BB23" s="3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</row>
    <row r="24" spans="2:65" ht="14.25" customHeight="1" x14ac:dyDescent="0.2">
      <c r="B24" s="166" t="str">
        <f>IF(LANGUAGE="English","(Expenses must be documented by receipts, voucher, tickets)","(Udgifter skal dokumenteres med kvittering/billetter)")</f>
        <v>(Expenses must be documented by receipts, voucher, tickets)</v>
      </c>
      <c r="C24" s="167"/>
      <c r="D24" s="167"/>
      <c r="E24" s="167"/>
      <c r="F24" s="167"/>
      <c r="G24" s="167"/>
      <c r="H24" s="167"/>
      <c r="I24" s="167"/>
      <c r="J24" s="167"/>
      <c r="K24" s="167"/>
      <c r="L24" s="167"/>
      <c r="M24" s="167"/>
      <c r="N24" s="167"/>
      <c r="O24" s="167"/>
      <c r="P24" s="167"/>
      <c r="Q24" s="167"/>
      <c r="R24" s="168"/>
      <c r="S24" s="26" t="str">
        <f>IF(LANGUAGE="English","Rate:","Kurs:")</f>
        <v>Rate:</v>
      </c>
      <c r="T24" s="21"/>
      <c r="U24" s="155">
        <v>100</v>
      </c>
      <c r="V24" s="157"/>
      <c r="W24" s="34"/>
      <c r="X24" s="8"/>
      <c r="Y24" s="26" t="str">
        <f>IF(LANGUAGE="English","Rate:","Kurs:")</f>
        <v>Rate:</v>
      </c>
      <c r="Z24" s="21"/>
      <c r="AA24" s="155"/>
      <c r="AB24" s="157"/>
      <c r="AC24" s="34"/>
      <c r="AD24" s="26" t="str">
        <f>IF(LANGUAGE="English","Rate:","Kurs:")</f>
        <v>Rate:</v>
      </c>
      <c r="AE24" s="21"/>
      <c r="AF24" s="155"/>
      <c r="AG24" s="156"/>
      <c r="AH24" s="156"/>
      <c r="AI24" s="157"/>
      <c r="AJ24" s="8"/>
      <c r="AK24" s="210"/>
      <c r="AL24" s="211"/>
      <c r="AM24" s="211"/>
      <c r="AN24" s="211"/>
      <c r="AO24" s="212"/>
      <c r="AP24" s="6"/>
      <c r="AQ24" s="6"/>
      <c r="AR24" s="6"/>
      <c r="AS24" s="6"/>
      <c r="AT24" s="6"/>
      <c r="AU24" s="6"/>
      <c r="AV24" s="6"/>
      <c r="AW24" s="5"/>
      <c r="AX24" s="6"/>
      <c r="AY24" s="6"/>
      <c r="AZ24" s="6"/>
      <c r="BA24" s="6"/>
      <c r="BB24" s="3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</row>
    <row r="25" spans="2:65" ht="6.75" customHeight="1" x14ac:dyDescent="0.2">
      <c r="B25" s="169"/>
      <c r="C25" s="170"/>
      <c r="D25" s="170"/>
      <c r="E25" s="170"/>
      <c r="F25" s="170"/>
      <c r="G25" s="170"/>
      <c r="H25" s="170"/>
      <c r="I25" s="170"/>
      <c r="J25" s="170"/>
      <c r="K25" s="170"/>
      <c r="L25" s="170"/>
      <c r="M25" s="170"/>
      <c r="N25" s="170"/>
      <c r="O25" s="170"/>
      <c r="P25" s="170"/>
      <c r="Q25" s="170"/>
      <c r="R25" s="171"/>
      <c r="S25" s="151"/>
      <c r="T25" s="152"/>
      <c r="U25" s="152"/>
      <c r="V25" s="152"/>
      <c r="W25" s="153"/>
      <c r="X25" s="130"/>
      <c r="Y25" s="151"/>
      <c r="Z25" s="152"/>
      <c r="AA25" s="152"/>
      <c r="AB25" s="152"/>
      <c r="AC25" s="153"/>
      <c r="AD25" s="151"/>
      <c r="AE25" s="152"/>
      <c r="AF25" s="152"/>
      <c r="AG25" s="152"/>
      <c r="AH25" s="152"/>
      <c r="AI25" s="152"/>
      <c r="AJ25" s="154"/>
      <c r="AK25" s="213"/>
      <c r="AL25" s="214"/>
      <c r="AM25" s="214"/>
      <c r="AN25" s="214"/>
      <c r="AO25" s="215"/>
      <c r="AP25" s="6"/>
      <c r="AQ25" s="6"/>
      <c r="AR25" s="6"/>
      <c r="AS25" s="6"/>
      <c r="AT25" s="6"/>
      <c r="AU25" s="6"/>
      <c r="AV25" s="6"/>
      <c r="AW25" s="5"/>
      <c r="AX25" s="17"/>
      <c r="AY25" s="17"/>
      <c r="AZ25" s="17"/>
      <c r="BA25" s="17"/>
      <c r="BC25" s="6"/>
      <c r="BD25" s="2"/>
      <c r="BE25" s="2"/>
      <c r="BF25" s="2"/>
      <c r="BG25" s="2"/>
      <c r="BH25" s="2"/>
      <c r="BI25" s="2"/>
      <c r="BJ25" s="2"/>
      <c r="BK25" s="2"/>
      <c r="BL25" s="2"/>
      <c r="BM25" s="2"/>
    </row>
    <row r="26" spans="2:65" ht="18" customHeight="1" x14ac:dyDescent="0.2">
      <c r="B26" s="192" t="str">
        <f>IF(LANGUAGE="English","A. Ticket:","A. Billet:")</f>
        <v>A. Ticket:</v>
      </c>
      <c r="C26" s="264"/>
      <c r="D26" s="430"/>
      <c r="E26" s="430"/>
      <c r="F26" s="430"/>
      <c r="G26" s="430"/>
      <c r="H26" s="430"/>
      <c r="I26" s="430"/>
      <c r="J26" s="430"/>
      <c r="K26" s="430"/>
      <c r="L26" s="430"/>
      <c r="M26" s="430"/>
      <c r="N26" s="430"/>
      <c r="O26" s="430"/>
      <c r="P26" s="430"/>
      <c r="Q26" s="430"/>
      <c r="R26" s="431"/>
      <c r="S26" s="203"/>
      <c r="T26" s="204"/>
      <c r="U26" s="204"/>
      <c r="V26" s="204"/>
      <c r="W26" s="204"/>
      <c r="X26" s="205"/>
      <c r="Y26" s="203"/>
      <c r="Z26" s="204"/>
      <c r="AA26" s="204"/>
      <c r="AB26" s="204"/>
      <c r="AC26" s="205"/>
      <c r="AD26" s="203"/>
      <c r="AE26" s="204"/>
      <c r="AF26" s="204"/>
      <c r="AG26" s="204"/>
      <c r="AH26" s="204"/>
      <c r="AI26" s="204"/>
      <c r="AJ26" s="344"/>
      <c r="AK26" s="172" t="str">
        <f>IF(SUM(S26/100*$U$24,AA$24/100*Y26,AF$24/100*AD26)=0,"",IF($AO$21&lt;&gt;"DKK",Valuta!M5,SUM(S26/100*$U$24,kurs1/100*Y26,kurs2/100*AD26)))</f>
        <v/>
      </c>
      <c r="AL26" s="173"/>
      <c r="AM26" s="173"/>
      <c r="AN26" s="173"/>
      <c r="AO26" s="174"/>
      <c r="AP26" s="6"/>
      <c r="AQ26" s="6"/>
      <c r="AR26" s="6"/>
      <c r="AS26" s="6"/>
      <c r="AT26" s="6"/>
      <c r="AU26" s="6"/>
      <c r="AV26" s="6"/>
      <c r="AW26" s="5"/>
      <c r="AX26" s="17"/>
      <c r="AY26" s="17"/>
      <c r="AZ26" s="17"/>
      <c r="BA26" s="17"/>
      <c r="BC26" s="6"/>
      <c r="BD26" s="2"/>
      <c r="BE26" s="2"/>
      <c r="BF26" s="2"/>
      <c r="BG26" s="2"/>
      <c r="BH26" s="2"/>
      <c r="BI26" s="2"/>
      <c r="BJ26" s="2"/>
      <c r="BK26" s="2"/>
      <c r="BL26" s="2"/>
      <c r="BM26" s="2"/>
    </row>
    <row r="27" spans="2:65" ht="18" customHeight="1" x14ac:dyDescent="0.2">
      <c r="B27" s="314" t="str">
        <f>IF(LANGUAGE="English","B. Ticket:","B. Billet:")</f>
        <v>B. Ticket:</v>
      </c>
      <c r="C27" s="315"/>
      <c r="D27" s="206"/>
      <c r="E27" s="206"/>
      <c r="F27" s="206"/>
      <c r="G27" s="206"/>
      <c r="H27" s="206"/>
      <c r="I27" s="206"/>
      <c r="J27" s="206"/>
      <c r="K27" s="206"/>
      <c r="L27" s="206"/>
      <c r="M27" s="206"/>
      <c r="N27" s="206"/>
      <c r="O27" s="206"/>
      <c r="P27" s="206"/>
      <c r="Q27" s="206"/>
      <c r="R27" s="207"/>
      <c r="S27" s="177"/>
      <c r="T27" s="178"/>
      <c r="U27" s="178"/>
      <c r="V27" s="178"/>
      <c r="W27" s="178"/>
      <c r="X27" s="202"/>
      <c r="Y27" s="177"/>
      <c r="Z27" s="178"/>
      <c r="AA27" s="178"/>
      <c r="AB27" s="178"/>
      <c r="AC27" s="202"/>
      <c r="AD27" s="177"/>
      <c r="AE27" s="178"/>
      <c r="AF27" s="178"/>
      <c r="AG27" s="178"/>
      <c r="AH27" s="178"/>
      <c r="AI27" s="178"/>
      <c r="AJ27" s="179"/>
      <c r="AK27" s="172" t="str">
        <f>IF(SUM(S27/100*$U$24,AA$24/100*Y27,AF$24/100*AD27)=0,"",IF($AO$21&lt;&gt;"DKK",Valuta!M6,SUM(S27/100*$U$24,kurs1/100*Y27,kurs2/100*AD27)))</f>
        <v/>
      </c>
      <c r="AL27" s="173"/>
      <c r="AM27" s="173"/>
      <c r="AN27" s="173"/>
      <c r="AO27" s="174"/>
      <c r="AP27" s="6"/>
      <c r="AQ27" s="6"/>
      <c r="AR27" s="10"/>
      <c r="AS27" s="6"/>
      <c r="AT27" s="6"/>
      <c r="AU27" s="6"/>
      <c r="AV27" s="6"/>
      <c r="AW27" s="5"/>
      <c r="AX27" s="17"/>
      <c r="AY27" s="17"/>
      <c r="AZ27" s="17"/>
      <c r="BA27" s="17"/>
      <c r="BC27" s="6"/>
      <c r="BD27" s="2"/>
      <c r="BE27" s="2"/>
      <c r="BF27" s="2"/>
      <c r="BG27" s="2"/>
      <c r="BH27" s="2"/>
      <c r="BI27" s="2"/>
      <c r="BJ27" s="2"/>
      <c r="BK27" s="2"/>
      <c r="BL27" s="2"/>
      <c r="BM27" s="2"/>
    </row>
    <row r="28" spans="2:65" ht="18" customHeight="1" x14ac:dyDescent="0.2">
      <c r="B28" s="317" t="s">
        <v>148</v>
      </c>
      <c r="C28" s="318"/>
      <c r="D28" s="206"/>
      <c r="E28" s="206"/>
      <c r="F28" s="206"/>
      <c r="G28" s="206"/>
      <c r="H28" s="206"/>
      <c r="I28" s="206"/>
      <c r="J28" s="206"/>
      <c r="K28" s="206"/>
      <c r="L28" s="206"/>
      <c r="M28" s="206"/>
      <c r="N28" s="206"/>
      <c r="O28" s="206"/>
      <c r="P28" s="206"/>
      <c r="Q28" s="206"/>
      <c r="R28" s="207"/>
      <c r="S28" s="177"/>
      <c r="T28" s="178"/>
      <c r="U28" s="178"/>
      <c r="V28" s="178"/>
      <c r="W28" s="178"/>
      <c r="X28" s="202"/>
      <c r="Y28" s="201"/>
      <c r="Z28" s="178"/>
      <c r="AA28" s="178"/>
      <c r="AB28" s="178"/>
      <c r="AC28" s="202"/>
      <c r="AD28" s="177"/>
      <c r="AE28" s="178"/>
      <c r="AF28" s="178"/>
      <c r="AG28" s="178"/>
      <c r="AH28" s="178"/>
      <c r="AI28" s="178"/>
      <c r="AJ28" s="179"/>
      <c r="AK28" s="172" t="str">
        <f>IF(SUM(S28/100*$U$24,AA$24/100*Y28,AF$24/100*AD28)=0,"",IF($AO$21&lt;&gt;"DKK",Valuta!M7,SUM(S28/100*$U$24,kurs1/100*Y28,kurs2/100*AD28)))</f>
        <v/>
      </c>
      <c r="AL28" s="173"/>
      <c r="AM28" s="173"/>
      <c r="AN28" s="173"/>
      <c r="AO28" s="174"/>
      <c r="AP28" s="6"/>
      <c r="AQ28" s="6"/>
      <c r="AR28" s="10"/>
      <c r="AS28" s="6"/>
      <c r="AT28" s="6"/>
      <c r="AU28" s="6"/>
      <c r="AV28" s="6"/>
      <c r="AW28" s="5"/>
      <c r="AX28" s="17"/>
      <c r="AY28" s="17"/>
      <c r="AZ28" s="17"/>
      <c r="BA28" s="17"/>
      <c r="BC28" s="6"/>
      <c r="BD28" s="2"/>
      <c r="BE28" s="2"/>
      <c r="BF28" s="2"/>
      <c r="BG28" s="2"/>
      <c r="BH28" s="2"/>
      <c r="BI28" s="2"/>
      <c r="BJ28" s="2"/>
      <c r="BK28" s="2"/>
      <c r="BL28" s="2"/>
      <c r="BM28" s="2"/>
    </row>
    <row r="29" spans="2:65" ht="18" customHeight="1" x14ac:dyDescent="0.2">
      <c r="B29" s="316" t="str">
        <f>IF(LANGUAGE="English","D. Other travel expenses:","D. Andre rejseudlæg:")</f>
        <v>D. Other travel expenses:</v>
      </c>
      <c r="C29" s="268"/>
      <c r="D29" s="268"/>
      <c r="E29" s="268"/>
      <c r="F29" s="268"/>
      <c r="G29" s="268"/>
      <c r="H29" s="268"/>
      <c r="I29" s="380"/>
      <c r="J29" s="381"/>
      <c r="K29" s="381"/>
      <c r="L29" s="381"/>
      <c r="M29" s="381"/>
      <c r="N29" s="381"/>
      <c r="O29" s="381"/>
      <c r="P29" s="381"/>
      <c r="Q29" s="381"/>
      <c r="R29" s="382"/>
      <c r="S29" s="365"/>
      <c r="T29" s="366"/>
      <c r="U29" s="366"/>
      <c r="V29" s="366"/>
      <c r="W29" s="366"/>
      <c r="X29" s="367"/>
      <c r="Y29" s="365"/>
      <c r="Z29" s="366"/>
      <c r="AA29" s="366"/>
      <c r="AB29" s="366"/>
      <c r="AC29" s="367"/>
      <c r="AD29" s="365"/>
      <c r="AE29" s="366"/>
      <c r="AF29" s="366"/>
      <c r="AG29" s="366"/>
      <c r="AH29" s="366"/>
      <c r="AI29" s="366"/>
      <c r="AJ29" s="383"/>
      <c r="AK29" s="172" t="str">
        <f>IF(SUM(S29/100*$U$24,AA$24/100*Y29,AF$24/100*AD29)=0,"",IF($AO$21&lt;&gt;"DKK",Valuta!M8,SUM(S29/100*$U$24,kurs1/100*Y29,kurs2/100*AD29)))</f>
        <v/>
      </c>
      <c r="AL29" s="173"/>
      <c r="AM29" s="173"/>
      <c r="AN29" s="173"/>
      <c r="AO29" s="174"/>
      <c r="AP29" s="6"/>
      <c r="AQ29" s="6"/>
      <c r="AR29" s="10"/>
      <c r="AS29" s="6"/>
      <c r="AT29" s="6"/>
      <c r="AU29" s="6"/>
      <c r="AV29" s="6"/>
      <c r="AW29" s="5"/>
      <c r="AX29" s="17"/>
      <c r="AY29" s="17"/>
      <c r="AZ29" s="17"/>
      <c r="BA29" s="17"/>
      <c r="BC29" s="6"/>
      <c r="BD29" s="2"/>
      <c r="BE29" s="2"/>
      <c r="BF29" s="2"/>
      <c r="BG29" s="2"/>
      <c r="BH29" s="2"/>
      <c r="BI29" s="2"/>
      <c r="BJ29" s="2"/>
      <c r="BK29" s="2"/>
      <c r="BL29" s="2"/>
      <c r="BM29" s="2"/>
    </row>
    <row r="30" spans="2:65" ht="18" customHeight="1" x14ac:dyDescent="0.2">
      <c r="B30" s="175" t="str">
        <f>IF(LANGUAGE="English","E. Consumption:","E. Fortæringsudgifter:")</f>
        <v>E. Consumption:</v>
      </c>
      <c r="C30" s="176"/>
      <c r="D30" s="176"/>
      <c r="E30" s="176"/>
      <c r="F30" s="176"/>
      <c r="G30" s="176"/>
      <c r="H30" s="350"/>
      <c r="I30" s="351"/>
      <c r="J30" s="351"/>
      <c r="K30" s="351"/>
      <c r="L30" s="351"/>
      <c r="M30" s="351"/>
      <c r="N30" s="351"/>
      <c r="O30" s="351"/>
      <c r="P30" s="351"/>
      <c r="Q30" s="351"/>
      <c r="R30" s="352"/>
      <c r="S30" s="425"/>
      <c r="T30" s="426"/>
      <c r="U30" s="426"/>
      <c r="V30" s="426"/>
      <c r="W30" s="426"/>
      <c r="X30" s="427"/>
      <c r="Y30" s="319"/>
      <c r="Z30" s="320"/>
      <c r="AA30" s="320"/>
      <c r="AB30" s="320"/>
      <c r="AC30" s="321"/>
      <c r="AD30" s="333"/>
      <c r="AE30" s="320"/>
      <c r="AF30" s="320"/>
      <c r="AG30" s="320"/>
      <c r="AH30" s="320"/>
      <c r="AI30" s="320"/>
      <c r="AJ30" s="334"/>
      <c r="AK30" s="172" t="str">
        <f>IF(SUM(S30/100*$U$24,AA$24/100*Y30,AF$24/100*AD30)=0,"",IF($AO$21&lt;&gt;"DKK",Valuta!M9,SUM(S30/100*$U$24,kurs1/100*Y30,kurs2/100*AD30)))</f>
        <v/>
      </c>
      <c r="AL30" s="173"/>
      <c r="AM30" s="173"/>
      <c r="AN30" s="173"/>
      <c r="AO30" s="174"/>
      <c r="AP30" s="6"/>
      <c r="AQ30" s="6"/>
      <c r="AR30" s="10"/>
      <c r="AS30" s="6"/>
      <c r="AT30" s="6"/>
      <c r="AU30" s="6"/>
      <c r="AV30" s="6"/>
      <c r="AW30" s="5"/>
      <c r="AX30" s="17"/>
      <c r="AY30" s="17"/>
      <c r="AZ30" s="17"/>
      <c r="BA30" s="17"/>
      <c r="BC30" s="6"/>
      <c r="BD30" s="2"/>
      <c r="BE30" s="2"/>
      <c r="BF30" s="2"/>
      <c r="BG30" s="2"/>
      <c r="BH30" s="2"/>
      <c r="BI30" s="2"/>
      <c r="BJ30" s="2"/>
      <c r="BK30" s="2"/>
      <c r="BL30" s="2"/>
      <c r="BM30" s="2"/>
    </row>
    <row r="31" spans="2:65" ht="21" customHeight="1" x14ac:dyDescent="0.2">
      <c r="B31" s="192" t="str">
        <f>IF(LANGUAGE="English","F. Hotel in DK","F. Hotel indland")</f>
        <v>F. Hotel in DK</v>
      </c>
      <c r="C31" s="193"/>
      <c r="D31" s="193"/>
      <c r="E31" s="193"/>
      <c r="F31" s="193"/>
      <c r="G31" s="35" t="b">
        <v>0</v>
      </c>
      <c r="H31" s="36" t="str">
        <f>IF(LANGUAGE="Dansk","med el.","incl. or")</f>
        <v>incl. or</v>
      </c>
      <c r="I31" s="36"/>
      <c r="J31" s="37" t="b">
        <v>0</v>
      </c>
      <c r="K31" s="36" t="str">
        <f>IF(LANGUAGE="Dansk","uden","excl.")</f>
        <v>excl.</v>
      </c>
      <c r="L31" s="36"/>
      <c r="M31" s="264" t="str">
        <f>IF(LANGUAGE="Dansk","morgenmad","breakfast")</f>
        <v>breakfast</v>
      </c>
      <c r="N31" s="264"/>
      <c r="O31" s="264"/>
      <c r="P31" s="264"/>
      <c r="Q31" s="264"/>
      <c r="R31" s="265"/>
      <c r="S31" s="198"/>
      <c r="T31" s="199"/>
      <c r="U31" s="199"/>
      <c r="V31" s="199"/>
      <c r="W31" s="199"/>
      <c r="X31" s="200"/>
      <c r="Y31" s="198"/>
      <c r="Z31" s="199"/>
      <c r="AA31" s="199"/>
      <c r="AB31" s="199"/>
      <c r="AC31" s="200"/>
      <c r="AD31" s="198"/>
      <c r="AE31" s="199"/>
      <c r="AF31" s="199"/>
      <c r="AG31" s="199"/>
      <c r="AH31" s="199"/>
      <c r="AI31" s="199"/>
      <c r="AJ31" s="326"/>
      <c r="AK31" s="172" t="str">
        <f>IF(SUM(S31/100*$U$24,AA$24/100*Y31,AF$24/100*AD31)=0,"",IF($AO$21&lt;&gt;"DKK",Valuta!M10,SUM(S31/100*$U$24,kurs1/100*Y31,kurs2/100*AD31)))</f>
        <v/>
      </c>
      <c r="AL31" s="173"/>
      <c r="AM31" s="173"/>
      <c r="AN31" s="173"/>
      <c r="AO31" s="174"/>
      <c r="AP31" s="6"/>
      <c r="AQ31" s="6"/>
      <c r="AR31" s="10"/>
      <c r="AS31" s="6"/>
      <c r="AT31" s="6"/>
      <c r="AU31" s="6"/>
      <c r="AV31" s="6"/>
      <c r="AW31" s="5"/>
      <c r="AX31" s="17"/>
      <c r="AY31" s="17"/>
      <c r="AZ31" s="17"/>
      <c r="BA31" s="17"/>
      <c r="BC31" s="6"/>
      <c r="BD31" s="2"/>
      <c r="BE31" s="2"/>
      <c r="BF31" s="2"/>
      <c r="BG31" s="2"/>
      <c r="BH31" s="2"/>
      <c r="BI31" s="2"/>
      <c r="BJ31" s="2"/>
      <c r="BK31" s="2"/>
      <c r="BL31" s="2"/>
      <c r="BM31" s="2"/>
    </row>
    <row r="32" spans="2:65" ht="21" customHeight="1" x14ac:dyDescent="0.2">
      <c r="B32" s="194" t="str">
        <f>IF(LANGUAGE="English","G. Hotel outside DK","G. Hotel udland")</f>
        <v>G. Hotel outside DK</v>
      </c>
      <c r="C32" s="195"/>
      <c r="D32" s="195"/>
      <c r="E32" s="195"/>
      <c r="F32" s="195"/>
      <c r="G32" s="39" t="b">
        <v>0</v>
      </c>
      <c r="H32" s="196" t="str">
        <f>IF(LANGUAGE="Dansk","med el.","incl. or")</f>
        <v>incl. or</v>
      </c>
      <c r="I32" s="197"/>
      <c r="J32" s="41" t="b">
        <v>0</v>
      </c>
      <c r="K32" s="40" t="str">
        <f>IF(LANGUAGE="Dansk","uden","excl.")</f>
        <v>excl.</v>
      </c>
      <c r="L32" s="38"/>
      <c r="M32" s="197" t="str">
        <f>IF(LANGUAGE="Dansk","morgenmad","breakfast")</f>
        <v>breakfast</v>
      </c>
      <c r="N32" s="197"/>
      <c r="O32" s="197"/>
      <c r="P32" s="197"/>
      <c r="Q32" s="197"/>
      <c r="R32" s="272"/>
      <c r="S32" s="327"/>
      <c r="T32" s="328"/>
      <c r="U32" s="328"/>
      <c r="V32" s="328"/>
      <c r="W32" s="328"/>
      <c r="X32" s="332"/>
      <c r="Y32" s="327"/>
      <c r="Z32" s="330"/>
      <c r="AA32" s="330"/>
      <c r="AB32" s="330"/>
      <c r="AC32" s="331"/>
      <c r="AD32" s="327"/>
      <c r="AE32" s="330"/>
      <c r="AF32" s="330"/>
      <c r="AG32" s="330"/>
      <c r="AH32" s="330"/>
      <c r="AI32" s="330"/>
      <c r="AJ32" s="364"/>
      <c r="AK32" s="172" t="str">
        <f>IF(SUM(S32/100*$U$24,AA$24/100*Y32,AF$24/100*AD32)=0,"",IF($AO$21&lt;&gt;"DKK",Valuta!M11,SUM(S32/100*$U$24,kurs1/100*Y32,kurs2/100*AD32)))</f>
        <v/>
      </c>
      <c r="AL32" s="173"/>
      <c r="AM32" s="173"/>
      <c r="AN32" s="173"/>
      <c r="AO32" s="174"/>
      <c r="AP32" s="6"/>
      <c r="AQ32" s="6"/>
      <c r="AR32" s="10"/>
      <c r="AS32" s="6"/>
      <c r="AT32" s="6"/>
      <c r="AU32" s="6"/>
      <c r="AV32" s="6"/>
      <c r="AW32" s="5"/>
      <c r="AX32" s="17"/>
      <c r="AY32" s="17"/>
      <c r="AZ32" s="17"/>
      <c r="BA32" s="17"/>
      <c r="BC32" s="6"/>
      <c r="BD32" s="2"/>
      <c r="BE32" s="2"/>
      <c r="BF32" s="2"/>
      <c r="BG32" s="2"/>
      <c r="BH32" s="2"/>
      <c r="BI32" s="2"/>
      <c r="BJ32" s="2"/>
      <c r="BK32" s="2"/>
      <c r="BL32" s="2"/>
      <c r="BM32" s="2"/>
    </row>
    <row r="33" spans="2:65" ht="18" customHeight="1" x14ac:dyDescent="0.2">
      <c r="B33" s="190" t="str">
        <f>IF(LANGUAGE="English","H. Other non-travel expenses*) :","H. Andre ikke-rejseudlæg*) :")</f>
        <v>H. Other non-travel expenses*) :</v>
      </c>
      <c r="C33" s="191"/>
      <c r="D33" s="191"/>
      <c r="E33" s="191"/>
      <c r="F33" s="191"/>
      <c r="G33" s="191"/>
      <c r="H33" s="191"/>
      <c r="I33" s="191"/>
      <c r="J33" s="208"/>
      <c r="K33" s="208"/>
      <c r="L33" s="208"/>
      <c r="M33" s="208"/>
      <c r="N33" s="208"/>
      <c r="O33" s="208"/>
      <c r="P33" s="208"/>
      <c r="Q33" s="208"/>
      <c r="R33" s="209"/>
      <c r="S33" s="425"/>
      <c r="T33" s="426"/>
      <c r="U33" s="426"/>
      <c r="V33" s="426"/>
      <c r="W33" s="426"/>
      <c r="X33" s="427"/>
      <c r="Y33" s="327"/>
      <c r="Z33" s="328"/>
      <c r="AA33" s="328"/>
      <c r="AB33" s="328"/>
      <c r="AC33" s="332"/>
      <c r="AD33" s="327"/>
      <c r="AE33" s="328"/>
      <c r="AF33" s="328"/>
      <c r="AG33" s="328"/>
      <c r="AH33" s="328"/>
      <c r="AI33" s="328"/>
      <c r="AJ33" s="329"/>
      <c r="AK33" s="172" t="str">
        <f>IF(SUM(S33/100*$U$24,AA$24/100*Y33,AF$24/100*AD33)=0,"",IF($AO$21&lt;&gt;"DKK",Valuta!M12,SUM(S33/100*$U$24,kurs1/100*Y33,kurs2/100*AD33)))</f>
        <v/>
      </c>
      <c r="AL33" s="173"/>
      <c r="AM33" s="173"/>
      <c r="AN33" s="173"/>
      <c r="AO33" s="174"/>
      <c r="AP33" s="6"/>
      <c r="AQ33" s="6"/>
      <c r="AR33" s="10"/>
      <c r="AS33" s="6"/>
      <c r="AT33" s="6"/>
      <c r="AU33" s="6"/>
      <c r="AV33" s="6"/>
      <c r="AW33" s="5"/>
      <c r="AX33" s="6"/>
      <c r="AY33" s="6"/>
      <c r="AZ33" s="6"/>
      <c r="BA33" s="6"/>
      <c r="BB33" s="5"/>
      <c r="BC33" s="6"/>
      <c r="BD33" s="2"/>
      <c r="BE33" s="2"/>
      <c r="BF33" s="2"/>
      <c r="BG33" s="2"/>
      <c r="BH33" s="2"/>
      <c r="BI33" s="2"/>
      <c r="BJ33" s="2"/>
      <c r="BK33" s="2"/>
      <c r="BL33" s="2"/>
      <c r="BM33" s="2"/>
    </row>
    <row r="34" spans="2:65" ht="18.75" customHeight="1" x14ac:dyDescent="0.2">
      <c r="B34" s="393" t="str">
        <f>IF(LANGUAGE="English","*) eg. Conference fee"," *) Fx. Konferencegebyr")</f>
        <v>*) eg. Conference fee</v>
      </c>
      <c r="C34" s="394"/>
      <c r="D34" s="394"/>
      <c r="E34" s="394"/>
      <c r="F34" s="394"/>
      <c r="G34" s="394"/>
      <c r="H34" s="394"/>
      <c r="I34" s="394"/>
      <c r="J34" s="394"/>
      <c r="K34" s="394"/>
      <c r="L34" s="394"/>
      <c r="M34" s="394"/>
      <c r="N34" s="394"/>
      <c r="O34" s="394"/>
      <c r="P34" s="394"/>
      <c r="Q34" s="394"/>
      <c r="R34" s="395"/>
      <c r="S34" s="323" t="str">
        <f>IF(LANGUAGE="Dansk","Udgifter i alt","Total expenses")</f>
        <v>Total expenses</v>
      </c>
      <c r="T34" s="324"/>
      <c r="U34" s="324"/>
      <c r="V34" s="324"/>
      <c r="W34" s="324"/>
      <c r="X34" s="324"/>
      <c r="Y34" s="324"/>
      <c r="Z34" s="324"/>
      <c r="AA34" s="324"/>
      <c r="AB34" s="324"/>
      <c r="AC34" s="324"/>
      <c r="AD34" s="324"/>
      <c r="AE34" s="324"/>
      <c r="AF34" s="324"/>
      <c r="AG34" s="324"/>
      <c r="AH34" s="324"/>
      <c r="AI34" s="324"/>
      <c r="AJ34" s="324"/>
      <c r="AK34" s="390" t="str">
        <f>IF(Valuta!I5=0,"",IF(AND(AK26="",AK27="",AK28="",AK29="",AK30="",AK31="",AK33="",G=""),"",SUM(Beregninger!O7:O14)))</f>
        <v/>
      </c>
      <c r="AL34" s="391"/>
      <c r="AM34" s="391"/>
      <c r="AN34" s="391"/>
      <c r="AO34" s="392"/>
      <c r="AP34" s="6"/>
      <c r="AQ34" s="6"/>
      <c r="AR34" s="6"/>
      <c r="AS34" s="6"/>
      <c r="AT34" s="6"/>
      <c r="AU34" s="6"/>
      <c r="AV34" s="6"/>
      <c r="AW34" s="5"/>
      <c r="AX34" s="6"/>
      <c r="AY34" s="6"/>
      <c r="AZ34" s="6"/>
      <c r="BA34" s="6"/>
      <c r="BB34" s="5"/>
      <c r="BC34" s="6"/>
      <c r="BD34" s="2"/>
      <c r="BE34" s="2"/>
      <c r="BF34" s="2"/>
      <c r="BG34" s="2"/>
      <c r="BH34" s="2"/>
      <c r="BI34" s="2"/>
      <c r="BJ34" s="2"/>
      <c r="BK34" s="2"/>
      <c r="BL34" s="2"/>
      <c r="BM34" s="2"/>
    </row>
    <row r="35" spans="2:65" ht="11.25" customHeight="1" x14ac:dyDescent="0.2">
      <c r="B35" s="389" t="str">
        <f>Beregninger!J1</f>
        <v/>
      </c>
      <c r="C35" s="389"/>
      <c r="D35" s="389"/>
      <c r="E35" s="389"/>
      <c r="F35" s="389"/>
      <c r="G35" s="389"/>
      <c r="H35" s="389"/>
      <c r="I35" s="389"/>
      <c r="J35" s="389"/>
      <c r="K35" s="389"/>
      <c r="L35" s="389"/>
      <c r="M35" s="389"/>
      <c r="N35" s="389"/>
      <c r="O35" s="389"/>
      <c r="P35" s="389"/>
      <c r="Q35" s="389"/>
      <c r="R35" s="389"/>
      <c r="S35" s="389"/>
      <c r="T35" s="389"/>
      <c r="U35" s="389"/>
      <c r="V35" s="389"/>
      <c r="W35" s="389"/>
      <c r="X35" s="389"/>
      <c r="Y35" s="389"/>
      <c r="Z35" s="389"/>
      <c r="AA35" s="389"/>
      <c r="AB35" s="389"/>
      <c r="AC35" s="389"/>
      <c r="AD35" s="389"/>
      <c r="AE35" s="389"/>
      <c r="AF35" s="389"/>
      <c r="AG35" s="389"/>
      <c r="AH35" s="389"/>
      <c r="AI35" s="389"/>
      <c r="AJ35" s="389"/>
      <c r="AK35" s="389"/>
      <c r="AL35" s="389"/>
      <c r="AM35" s="389"/>
      <c r="AN35" s="389"/>
      <c r="AO35" s="389"/>
      <c r="AP35" s="6"/>
      <c r="AQ35" s="6"/>
      <c r="AR35" s="6"/>
      <c r="AS35" s="6"/>
      <c r="AT35" s="6"/>
      <c r="AU35" s="6"/>
      <c r="AV35" s="6"/>
      <c r="AW35" s="5"/>
      <c r="AX35" s="6"/>
      <c r="AY35" s="6"/>
      <c r="AZ35" s="6"/>
      <c r="BA35" s="6"/>
      <c r="BB35" s="3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</row>
    <row r="36" spans="2:65" ht="18" customHeight="1" x14ac:dyDescent="0.2">
      <c r="B36" s="223" t="str">
        <f>IF(LANGUAGE="English","Reimbursement","Godtgørelse")</f>
        <v>Reimbursement</v>
      </c>
      <c r="C36" s="292"/>
      <c r="D36" s="292"/>
      <c r="E36" s="292"/>
      <c r="F36" s="342"/>
      <c r="G36" s="343"/>
      <c r="H36" s="343"/>
      <c r="I36" s="343"/>
      <c r="J36" s="387"/>
      <c r="K36" s="388"/>
      <c r="L36" s="42"/>
      <c r="M36" s="341" t="s">
        <v>156</v>
      </c>
      <c r="N36" s="341"/>
      <c r="O36" s="341"/>
      <c r="P36" s="341"/>
      <c r="Q36" s="341"/>
      <c r="R36" s="341"/>
      <c r="S36" s="349" t="str">
        <f>IF(LANGUAGE="English","Amount","Antal")</f>
        <v>Amount</v>
      </c>
      <c r="T36" s="349"/>
      <c r="U36" s="349"/>
      <c r="V36" s="349"/>
      <c r="W36" s="349"/>
      <c r="X36" s="42"/>
      <c r="Y36" s="42"/>
      <c r="Z36" s="349" t="str">
        <f>IF(LANGUAGE="English","Rate","Sats")</f>
        <v>Rate</v>
      </c>
      <c r="AA36" s="349"/>
      <c r="AB36" s="349"/>
      <c r="AC36" s="42"/>
      <c r="AD36" s="342"/>
      <c r="AE36" s="342"/>
      <c r="AF36" s="342"/>
      <c r="AG36" s="342"/>
      <c r="AH36" s="342"/>
      <c r="AI36" s="342"/>
      <c r="AJ36" s="342"/>
      <c r="AK36" s="353" t="str">
        <f>IF(LANGUAGE="English","Currency","Valuta")</f>
        <v>Currency</v>
      </c>
      <c r="AL36" s="354"/>
      <c r="AM36" s="354"/>
      <c r="AN36" s="354"/>
      <c r="AO36" s="101" t="str">
        <f>AO21</f>
        <v>DKK</v>
      </c>
      <c r="AP36" s="2"/>
      <c r="AQ36" s="2"/>
      <c r="AR36" s="7"/>
      <c r="AS36" s="2"/>
      <c r="AT36" s="2"/>
      <c r="AU36" s="2"/>
      <c r="AV36" s="2"/>
      <c r="AW36" s="3"/>
      <c r="AX36" s="2"/>
      <c r="AY36" s="2"/>
      <c r="AZ36" s="2"/>
      <c r="BA36" s="2"/>
      <c r="BB36" s="3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</row>
    <row r="37" spans="2:65" ht="3" customHeight="1" x14ac:dyDescent="0.2">
      <c r="B37" s="192" t="str">
        <f>IF(LANGUAGE="English","Private car. Reason for use","Egen bil. Motiv for brug:")</f>
        <v>Private car. Reason for use</v>
      </c>
      <c r="C37" s="264"/>
      <c r="D37" s="264"/>
      <c r="E37" s="264"/>
      <c r="F37" s="264"/>
      <c r="G37" s="264"/>
      <c r="H37" s="264"/>
      <c r="I37" s="377"/>
      <c r="J37" s="377"/>
      <c r="K37" s="377"/>
      <c r="L37" s="377"/>
      <c r="M37" s="377"/>
      <c r="N37" s="377"/>
      <c r="O37" s="377"/>
      <c r="P37" s="377"/>
      <c r="Q37" s="377"/>
      <c r="R37" s="243"/>
      <c r="S37" s="152"/>
      <c r="T37" s="152"/>
      <c r="U37" s="152"/>
      <c r="V37" s="152"/>
      <c r="W37" s="152"/>
      <c r="X37" s="8"/>
      <c r="Y37" s="17"/>
      <c r="Z37" s="43"/>
      <c r="AA37" s="43"/>
      <c r="AB37" s="43"/>
      <c r="AC37" s="43"/>
      <c r="AD37" s="44"/>
      <c r="AE37" s="346"/>
      <c r="AF37" s="346"/>
      <c r="AG37" s="346"/>
      <c r="AH37" s="346"/>
      <c r="AI37" s="346"/>
      <c r="AJ37" s="423"/>
      <c r="AK37" s="397" t="str">
        <f>Valuta!M13</f>
        <v/>
      </c>
      <c r="AL37" s="398"/>
      <c r="AM37" s="398"/>
      <c r="AN37" s="398"/>
      <c r="AO37" s="399"/>
      <c r="AP37" s="2"/>
      <c r="AQ37" s="2"/>
      <c r="AR37" s="2"/>
      <c r="AS37" s="2"/>
      <c r="AT37" s="2"/>
      <c r="AU37" s="2"/>
      <c r="AV37" s="2"/>
      <c r="AW37" s="3"/>
      <c r="AX37" s="2"/>
      <c r="AY37" s="2"/>
      <c r="AZ37" s="2"/>
      <c r="BA37" s="2"/>
      <c r="BB37" s="3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</row>
    <row r="38" spans="2:65" ht="14.25" customHeight="1" x14ac:dyDescent="0.2">
      <c r="B38" s="175"/>
      <c r="C38" s="176"/>
      <c r="D38" s="176"/>
      <c r="E38" s="176"/>
      <c r="F38" s="176"/>
      <c r="G38" s="176"/>
      <c r="H38" s="176"/>
      <c r="I38" s="416"/>
      <c r="J38" s="417"/>
      <c r="K38" s="417"/>
      <c r="L38" s="417"/>
      <c r="M38" s="417"/>
      <c r="N38" s="417"/>
      <c r="O38" s="417"/>
      <c r="P38" s="417"/>
      <c r="Q38" s="418"/>
      <c r="R38" s="164"/>
      <c r="S38" s="359"/>
      <c r="T38" s="384"/>
      <c r="U38" s="384"/>
      <c r="V38" s="384"/>
      <c r="W38" s="385"/>
      <c r="X38" s="145"/>
      <c r="Y38" s="45" t="str">
        <f>IF(LANGUAGE="English","at","á")</f>
        <v>at</v>
      </c>
      <c r="Z38" s="420">
        <f>IF(AG15="","",IF(AG15=2025,Satser!H12,Satser!J12))</f>
        <v>2.2799999999999998</v>
      </c>
      <c r="AA38" s="421"/>
      <c r="AB38" s="422"/>
      <c r="AC38" s="46" t="str">
        <f>IF(LANGUAGE="English","DKK","kr.")</f>
        <v>DKK</v>
      </c>
      <c r="AD38" s="47"/>
      <c r="AE38" s="346"/>
      <c r="AF38" s="346"/>
      <c r="AG38" s="346"/>
      <c r="AH38" s="346"/>
      <c r="AI38" s="346"/>
      <c r="AJ38" s="423"/>
      <c r="AK38" s="397"/>
      <c r="AL38" s="398"/>
      <c r="AM38" s="398"/>
      <c r="AN38" s="398"/>
      <c r="AO38" s="399"/>
      <c r="AP38" s="2"/>
      <c r="AQ38" s="2"/>
      <c r="AR38" s="2"/>
      <c r="AS38" s="2"/>
      <c r="AT38" s="2"/>
      <c r="AU38" s="2"/>
      <c r="AV38" s="2"/>
      <c r="AW38" s="3"/>
      <c r="AX38" s="2"/>
      <c r="AY38" s="2"/>
      <c r="AZ38" s="2"/>
      <c r="BA38" s="2"/>
      <c r="BB38" s="3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</row>
    <row r="39" spans="2:65" ht="3" customHeight="1" x14ac:dyDescent="0.2">
      <c r="B39" s="175" t="str">
        <f>IF(LANGUAGE="English","Reg. no. vehicle","Reg. nr. køretøj:")</f>
        <v>Reg. no. vehicle</v>
      </c>
      <c r="C39" s="176"/>
      <c r="D39" s="176"/>
      <c r="E39" s="176"/>
      <c r="F39" s="176"/>
      <c r="G39" s="176"/>
      <c r="H39" s="176"/>
      <c r="I39" s="143"/>
      <c r="J39" s="143"/>
      <c r="K39" s="143"/>
      <c r="L39" s="143"/>
      <c r="M39" s="143"/>
      <c r="N39" s="143"/>
      <c r="O39" s="143"/>
      <c r="P39" s="143"/>
      <c r="Q39" s="143"/>
      <c r="R39" s="164"/>
      <c r="S39" s="226"/>
      <c r="T39" s="226"/>
      <c r="U39" s="226"/>
      <c r="V39" s="226"/>
      <c r="W39" s="226"/>
      <c r="X39" s="226"/>
      <c r="Y39" s="226"/>
      <c r="Z39" s="226"/>
      <c r="AA39" s="226"/>
      <c r="AB39" s="226"/>
      <c r="AC39" s="226"/>
      <c r="AD39" s="226"/>
      <c r="AE39" s="346"/>
      <c r="AF39" s="346"/>
      <c r="AG39" s="346"/>
      <c r="AH39" s="346"/>
      <c r="AI39" s="346"/>
      <c r="AJ39" s="423"/>
      <c r="AK39" s="397"/>
      <c r="AL39" s="398"/>
      <c r="AM39" s="398"/>
      <c r="AN39" s="398"/>
      <c r="AO39" s="399"/>
      <c r="AP39" s="2"/>
      <c r="AQ39" s="2"/>
      <c r="AR39" s="2"/>
      <c r="AS39" s="2"/>
      <c r="AT39" s="2"/>
      <c r="AU39" s="2"/>
      <c r="AV39" s="2"/>
      <c r="AW39" s="3"/>
      <c r="AX39" s="2"/>
      <c r="AY39" s="2"/>
      <c r="AZ39" s="2"/>
      <c r="BA39" s="2"/>
      <c r="BB39" s="3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</row>
    <row r="40" spans="2:65" ht="14.25" customHeight="1" x14ac:dyDescent="0.2">
      <c r="B40" s="175"/>
      <c r="C40" s="176"/>
      <c r="D40" s="176"/>
      <c r="E40" s="176"/>
      <c r="F40" s="176"/>
      <c r="G40" s="176"/>
      <c r="H40" s="176"/>
      <c r="I40" s="416"/>
      <c r="J40" s="417"/>
      <c r="K40" s="417"/>
      <c r="L40" s="417"/>
      <c r="M40" s="417"/>
      <c r="N40" s="417"/>
      <c r="O40" s="417"/>
      <c r="P40" s="417"/>
      <c r="Q40" s="418"/>
      <c r="R40" s="164"/>
      <c r="S40" s="226"/>
      <c r="T40" s="226"/>
      <c r="U40" s="226"/>
      <c r="V40" s="226"/>
      <c r="W40" s="226"/>
      <c r="X40" s="226"/>
      <c r="Y40" s="226"/>
      <c r="Z40" s="226"/>
      <c r="AA40" s="226"/>
      <c r="AB40" s="226"/>
      <c r="AC40" s="226"/>
      <c r="AD40" s="226"/>
      <c r="AE40" s="346"/>
      <c r="AF40" s="346"/>
      <c r="AG40" s="346"/>
      <c r="AH40" s="346"/>
      <c r="AI40" s="346"/>
      <c r="AJ40" s="423"/>
      <c r="AK40" s="397"/>
      <c r="AL40" s="398"/>
      <c r="AM40" s="398"/>
      <c r="AN40" s="398"/>
      <c r="AO40" s="399"/>
      <c r="AP40" s="2"/>
      <c r="AQ40" s="2"/>
      <c r="AR40" s="2"/>
      <c r="AS40" s="2"/>
      <c r="AT40" s="2"/>
      <c r="AU40" s="2"/>
      <c r="AV40" s="2"/>
      <c r="AW40" s="3"/>
      <c r="AX40" s="2"/>
      <c r="AY40" s="2"/>
      <c r="AZ40" s="2"/>
      <c r="BA40" s="2"/>
      <c r="BB40" s="3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</row>
    <row r="41" spans="2:65" ht="4.5" customHeight="1" x14ac:dyDescent="0.2">
      <c r="B41" s="140"/>
      <c r="C41" s="141"/>
      <c r="D41" s="141"/>
      <c r="E41" s="141"/>
      <c r="F41" s="141"/>
      <c r="G41" s="141"/>
      <c r="H41" s="141"/>
      <c r="I41" s="419"/>
      <c r="J41" s="419"/>
      <c r="K41" s="419"/>
      <c r="L41" s="419"/>
      <c r="M41" s="419"/>
      <c r="N41" s="419"/>
      <c r="O41" s="419"/>
      <c r="P41" s="419"/>
      <c r="Q41" s="419"/>
      <c r="R41" s="386"/>
      <c r="S41" s="226"/>
      <c r="T41" s="226"/>
      <c r="U41" s="226"/>
      <c r="V41" s="226"/>
      <c r="W41" s="226"/>
      <c r="X41" s="226"/>
      <c r="Y41" s="226"/>
      <c r="Z41" s="226"/>
      <c r="AA41" s="226"/>
      <c r="AB41" s="226"/>
      <c r="AC41" s="226"/>
      <c r="AD41" s="226"/>
      <c r="AE41" s="346"/>
      <c r="AF41" s="346"/>
      <c r="AG41" s="346"/>
      <c r="AH41" s="346"/>
      <c r="AI41" s="346"/>
      <c r="AJ41" s="423"/>
      <c r="AK41" s="397"/>
      <c r="AL41" s="398"/>
      <c r="AM41" s="398"/>
      <c r="AN41" s="398"/>
      <c r="AO41" s="399"/>
      <c r="AP41" s="2"/>
      <c r="AQ41" s="2"/>
      <c r="AR41" s="2"/>
      <c r="AS41" s="2"/>
      <c r="AT41" s="2"/>
      <c r="AU41" s="2"/>
      <c r="AV41" s="2"/>
      <c r="AW41" s="3"/>
      <c r="AX41" s="2"/>
      <c r="AY41" s="2"/>
      <c r="AZ41" s="2"/>
      <c r="BA41" s="2"/>
      <c r="BB41" s="3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</row>
    <row r="42" spans="2:65" ht="3.75" customHeight="1" x14ac:dyDescent="0.2">
      <c r="B42" s="402" t="str">
        <f>IF(LANGUAGE="English","Undocumented over-night stays","Udokumenteret nattillæg")</f>
        <v>Undocumented over-night stays</v>
      </c>
      <c r="C42" s="403"/>
      <c r="D42" s="403"/>
      <c r="E42" s="403"/>
      <c r="F42" s="403"/>
      <c r="G42" s="403"/>
      <c r="H42" s="403"/>
      <c r="I42" s="403"/>
      <c r="J42" s="403"/>
      <c r="K42" s="403"/>
      <c r="L42" s="403"/>
      <c r="M42" s="403"/>
      <c r="N42" s="403"/>
      <c r="O42" s="403"/>
      <c r="P42" s="403"/>
      <c r="Q42" s="403"/>
      <c r="R42" s="403"/>
      <c r="S42" s="414"/>
      <c r="T42" s="414"/>
      <c r="U42" s="414"/>
      <c r="V42" s="414"/>
      <c r="W42" s="414"/>
      <c r="X42" s="8"/>
      <c r="Y42" s="17"/>
      <c r="Z42" s="48"/>
      <c r="AA42" s="48"/>
      <c r="AB42" s="48"/>
      <c r="AC42" s="48"/>
      <c r="AD42" s="49"/>
      <c r="AE42" s="428"/>
      <c r="AF42" s="428"/>
      <c r="AG42" s="428"/>
      <c r="AH42" s="428"/>
      <c r="AI42" s="428"/>
      <c r="AJ42" s="429"/>
      <c r="AK42" s="408" t="str">
        <f>IF(S43="","",Valuta!M16)</f>
        <v/>
      </c>
      <c r="AL42" s="409"/>
      <c r="AM42" s="409"/>
      <c r="AN42" s="409"/>
      <c r="AO42" s="410"/>
      <c r="AP42" s="2"/>
      <c r="AQ42" s="2"/>
      <c r="AR42" s="2"/>
      <c r="AS42" s="2"/>
      <c r="AT42" s="2"/>
      <c r="AU42" s="2"/>
      <c r="AV42" s="2"/>
      <c r="AW42" s="3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</row>
    <row r="43" spans="2:65" ht="14.25" customHeight="1" x14ac:dyDescent="0.2">
      <c r="B43" s="175"/>
      <c r="C43" s="176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359"/>
      <c r="T43" s="360"/>
      <c r="U43" s="360"/>
      <c r="V43" s="360"/>
      <c r="W43" s="361"/>
      <c r="X43" s="145"/>
      <c r="Y43" s="45" t="str">
        <f>IF(LANGUAGE="English","at","á")</f>
        <v>at</v>
      </c>
      <c r="Z43" s="362">
        <f>IF(AG15="","",IF(AG15=2025,Satser!H27,Satser!J27))</f>
        <v>268</v>
      </c>
      <c r="AA43" s="363"/>
      <c r="AB43" s="363"/>
      <c r="AC43" s="46" t="str">
        <f>IF(LANGUAGE="English","DKK","kr.")</f>
        <v>DKK</v>
      </c>
      <c r="AD43" s="6"/>
      <c r="AE43" s="164"/>
      <c r="AF43" s="164"/>
      <c r="AG43" s="164"/>
      <c r="AH43" s="164"/>
      <c r="AI43" s="164"/>
      <c r="AJ43" s="165"/>
      <c r="AK43" s="397"/>
      <c r="AL43" s="398"/>
      <c r="AM43" s="398"/>
      <c r="AN43" s="398"/>
      <c r="AO43" s="399"/>
      <c r="AP43" s="2"/>
      <c r="AQ43" s="2"/>
      <c r="AR43" s="2"/>
      <c r="AS43" s="2"/>
      <c r="AT43" s="2"/>
      <c r="AU43" s="2"/>
      <c r="AV43" s="2"/>
      <c r="AW43" s="3"/>
      <c r="AX43" s="2"/>
      <c r="AY43" s="2"/>
      <c r="AZ43" s="2"/>
      <c r="BA43" s="2"/>
      <c r="BB43" s="3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</row>
    <row r="44" spans="2:65" ht="3.75" customHeight="1" x14ac:dyDescent="0.2">
      <c r="B44" s="194"/>
      <c r="C44" s="197"/>
      <c r="D44" s="197"/>
      <c r="E44" s="197"/>
      <c r="F44" s="197"/>
      <c r="G44" s="197"/>
      <c r="H44" s="197"/>
      <c r="I44" s="197"/>
      <c r="J44" s="197"/>
      <c r="K44" s="197"/>
      <c r="L44" s="197"/>
      <c r="M44" s="197"/>
      <c r="N44" s="197"/>
      <c r="O44" s="197"/>
      <c r="P44" s="197"/>
      <c r="Q44" s="197"/>
      <c r="R44" s="197"/>
      <c r="S44" s="343"/>
      <c r="T44" s="343"/>
      <c r="U44" s="343"/>
      <c r="V44" s="343"/>
      <c r="W44" s="343"/>
      <c r="X44" s="111"/>
      <c r="Y44" s="50"/>
      <c r="Z44" s="50"/>
      <c r="AA44" s="50"/>
      <c r="AB44" s="50"/>
      <c r="AC44" s="50"/>
      <c r="AD44" s="51"/>
      <c r="AE44" s="152"/>
      <c r="AF44" s="152"/>
      <c r="AG44" s="152"/>
      <c r="AH44" s="152"/>
      <c r="AI44" s="152"/>
      <c r="AJ44" s="153"/>
      <c r="AK44" s="411"/>
      <c r="AL44" s="412"/>
      <c r="AM44" s="412"/>
      <c r="AN44" s="412"/>
      <c r="AO44" s="413"/>
      <c r="AP44" s="2"/>
      <c r="AQ44" s="2"/>
      <c r="AR44" s="2"/>
      <c r="AS44" s="2"/>
      <c r="AT44" s="2"/>
      <c r="AU44" s="2"/>
      <c r="AV44" s="2"/>
      <c r="AW44" s="3"/>
      <c r="AX44" s="2"/>
      <c r="AY44" s="2"/>
      <c r="AZ44" s="2"/>
      <c r="BA44" s="2"/>
      <c r="BB44" s="3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</row>
    <row r="45" spans="2:65" ht="23.25" customHeight="1" x14ac:dyDescent="0.2">
      <c r="B45" s="118"/>
      <c r="C45" s="119"/>
      <c r="D45" s="119"/>
      <c r="E45" s="119"/>
      <c r="F45" s="119"/>
      <c r="G45" s="119"/>
      <c r="H45" s="119"/>
      <c r="I45" s="119"/>
      <c r="J45" s="119"/>
      <c r="K45" s="440"/>
      <c r="L45" s="232"/>
      <c r="M45" s="232"/>
      <c r="N45" s="232"/>
      <c r="O45" s="232"/>
      <c r="P45" s="232"/>
      <c r="Q45" s="119"/>
      <c r="R45" s="120"/>
      <c r="S45" s="323" t="str">
        <f>IF(LANGUAGE="English","Total reimbursement","Godtgørelse i alt")</f>
        <v>Total reimbursement</v>
      </c>
      <c r="T45" s="324"/>
      <c r="U45" s="324"/>
      <c r="V45" s="324"/>
      <c r="W45" s="324"/>
      <c r="X45" s="324"/>
      <c r="Y45" s="324"/>
      <c r="Z45" s="324"/>
      <c r="AA45" s="324"/>
      <c r="AB45" s="324"/>
      <c r="AC45" s="324"/>
      <c r="AD45" s="324"/>
      <c r="AE45" s="324"/>
      <c r="AF45" s="324"/>
      <c r="AG45" s="324"/>
      <c r="AH45" s="324"/>
      <c r="AI45" s="324"/>
      <c r="AJ45" s="401"/>
      <c r="AK45" s="400" t="str">
        <f>IF(AND(AK37="",AK42=""),"",SUM(AK37,AK42))</f>
        <v/>
      </c>
      <c r="AL45" s="391"/>
      <c r="AM45" s="391"/>
      <c r="AN45" s="391"/>
      <c r="AO45" s="392"/>
      <c r="AP45" s="2"/>
      <c r="AQ45" s="2"/>
      <c r="AR45" s="2"/>
      <c r="AS45" s="2"/>
      <c r="AT45" s="2"/>
      <c r="AU45" s="2"/>
      <c r="AV45" s="2"/>
      <c r="AW45" s="3"/>
      <c r="AX45" s="2"/>
      <c r="AY45" s="2"/>
      <c r="AZ45" s="2"/>
      <c r="BA45" s="2"/>
      <c r="BB45" s="3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</row>
    <row r="46" spans="2:65" ht="9.75" customHeight="1" x14ac:dyDescent="0.2">
      <c r="B46" s="226"/>
      <c r="C46" s="226"/>
      <c r="D46" s="226"/>
      <c r="E46" s="226"/>
      <c r="F46" s="226"/>
      <c r="G46" s="226"/>
      <c r="H46" s="226"/>
      <c r="I46" s="226"/>
      <c r="J46" s="226"/>
      <c r="K46" s="226"/>
      <c r="L46" s="226"/>
      <c r="M46" s="226"/>
      <c r="N46" s="226"/>
      <c r="O46" s="226"/>
      <c r="P46" s="226"/>
      <c r="Q46" s="226"/>
      <c r="R46" s="226"/>
      <c r="S46" s="415"/>
      <c r="T46" s="415"/>
      <c r="U46" s="415"/>
      <c r="V46" s="415"/>
      <c r="W46" s="415"/>
      <c r="X46" s="415"/>
      <c r="Y46" s="415"/>
      <c r="Z46" s="415"/>
      <c r="AA46" s="415"/>
      <c r="AB46" s="415"/>
      <c r="AC46" s="415"/>
      <c r="AD46" s="415"/>
      <c r="AE46" s="415"/>
      <c r="AF46" s="415"/>
      <c r="AG46" s="415"/>
      <c r="AH46" s="415"/>
      <c r="AI46" s="415"/>
      <c r="AJ46" s="415"/>
      <c r="AK46" s="415"/>
      <c r="AL46" s="415"/>
      <c r="AM46" s="415"/>
      <c r="AN46" s="415"/>
      <c r="AO46" s="415"/>
      <c r="AP46" s="2"/>
      <c r="AQ46" s="2"/>
      <c r="AR46" s="2"/>
      <c r="AS46" s="2"/>
      <c r="AT46" s="2"/>
      <c r="AU46" s="2"/>
      <c r="AV46" s="2"/>
      <c r="AW46" s="3"/>
      <c r="AX46" s="2"/>
      <c r="AY46" s="2"/>
      <c r="AZ46" s="2"/>
      <c r="BA46" s="2"/>
      <c r="BB46" s="3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</row>
    <row r="47" spans="2:65" ht="18" customHeight="1" x14ac:dyDescent="0.2">
      <c r="B47" s="17"/>
      <c r="C47" s="17"/>
      <c r="D47" s="17"/>
      <c r="E47" s="17"/>
      <c r="F47" s="17"/>
      <c r="G47" s="17"/>
      <c r="H47" s="17"/>
      <c r="I47" s="17"/>
      <c r="J47" s="117"/>
      <c r="K47" s="404" t="s">
        <v>237</v>
      </c>
      <c r="L47" s="405"/>
      <c r="M47" s="124"/>
      <c r="N47" s="406" t="s">
        <v>248</v>
      </c>
      <c r="O47" s="407"/>
      <c r="P47" s="123"/>
      <c r="Q47" s="17"/>
      <c r="R47" s="117"/>
      <c r="S47" s="323" t="str">
        <f>IF(LANGUAGE="English","Total Expenses and Reimbursement","Udgifter og godtgørelse i alt")</f>
        <v>Total Expenses and Reimbursement</v>
      </c>
      <c r="T47" s="324"/>
      <c r="U47" s="324"/>
      <c r="V47" s="324"/>
      <c r="W47" s="324"/>
      <c r="X47" s="324"/>
      <c r="Y47" s="324"/>
      <c r="Z47" s="324"/>
      <c r="AA47" s="324"/>
      <c r="AB47" s="324"/>
      <c r="AC47" s="324"/>
      <c r="AD47" s="324"/>
      <c r="AE47" s="324"/>
      <c r="AF47" s="324"/>
      <c r="AG47" s="324"/>
      <c r="AH47" s="324"/>
      <c r="AI47" s="324"/>
      <c r="AJ47" s="401"/>
      <c r="AK47" s="400" t="str">
        <f>IF(AND(AK34="",AK45=""),"",SUM(AK34,AK45))</f>
        <v/>
      </c>
      <c r="AL47" s="391"/>
      <c r="AM47" s="391"/>
      <c r="AN47" s="391"/>
      <c r="AO47" s="392"/>
      <c r="AP47" s="2"/>
      <c r="AQ47" s="2"/>
      <c r="AR47" s="2"/>
      <c r="AS47" s="2"/>
      <c r="AT47" s="2"/>
      <c r="AU47" s="2"/>
      <c r="AV47" s="2"/>
      <c r="AW47" s="3"/>
      <c r="AX47" s="2"/>
      <c r="AY47" s="2"/>
      <c r="AZ47" s="2"/>
      <c r="BA47" s="2"/>
      <c r="BB47" s="3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</row>
    <row r="48" spans="2:65" ht="18" customHeight="1" x14ac:dyDescent="0.2">
      <c r="B48" s="17"/>
      <c r="C48" s="17"/>
      <c r="D48" s="17"/>
      <c r="E48" s="17"/>
      <c r="F48" s="17"/>
      <c r="G48" s="17"/>
      <c r="H48" s="17"/>
      <c r="I48" s="17"/>
      <c r="J48" s="117"/>
      <c r="K48" s="404" t="s">
        <v>238</v>
      </c>
      <c r="L48" s="405"/>
      <c r="M48" s="124" t="s">
        <v>250</v>
      </c>
      <c r="N48" s="406" t="s">
        <v>249</v>
      </c>
      <c r="O48" s="407"/>
      <c r="P48" s="123"/>
      <c r="Q48" s="17"/>
      <c r="R48" s="117"/>
      <c r="S48" s="434" t="str">
        <f>IF(LANGUAGE="English","Advance payment received","Allerede udbetalt rejseforskud")</f>
        <v>Advance payment received</v>
      </c>
      <c r="T48" s="435"/>
      <c r="U48" s="435"/>
      <c r="V48" s="435"/>
      <c r="W48" s="435"/>
      <c r="X48" s="435"/>
      <c r="Y48" s="435"/>
      <c r="Z48" s="435"/>
      <c r="AA48" s="435"/>
      <c r="AB48" s="435"/>
      <c r="AC48" s="435"/>
      <c r="AD48" s="435"/>
      <c r="AE48" s="435"/>
      <c r="AF48" s="435"/>
      <c r="AG48" s="435"/>
      <c r="AH48" s="435"/>
      <c r="AI48" s="435"/>
      <c r="AJ48" s="436"/>
      <c r="AK48" s="52" t="s">
        <v>1</v>
      </c>
      <c r="AL48" s="432"/>
      <c r="AM48" s="432"/>
      <c r="AN48" s="432"/>
      <c r="AO48" s="433"/>
      <c r="AP48" s="2"/>
      <c r="AQ48" s="2"/>
      <c r="AR48" s="2"/>
      <c r="AS48" s="2"/>
      <c r="AT48" s="2"/>
      <c r="AU48" s="2"/>
      <c r="AV48" s="2"/>
      <c r="AW48" s="3"/>
      <c r="AX48" s="2"/>
      <c r="AY48" s="2"/>
      <c r="AZ48" s="2"/>
      <c r="BA48" s="2"/>
      <c r="BB48" s="3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</row>
    <row r="49" spans="2:65" ht="18" customHeight="1" x14ac:dyDescent="0.2">
      <c r="B49" s="17"/>
      <c r="C49" s="17"/>
      <c r="D49" s="17"/>
      <c r="E49" s="17"/>
      <c r="F49" s="17"/>
      <c r="G49" s="17"/>
      <c r="H49" s="17"/>
      <c r="I49" s="17"/>
      <c r="J49" s="117"/>
      <c r="K49" s="404" t="s">
        <v>239</v>
      </c>
      <c r="L49" s="405"/>
      <c r="M49" s="124"/>
      <c r="N49" s="404" t="s">
        <v>236</v>
      </c>
      <c r="O49" s="405"/>
      <c r="P49" s="123"/>
      <c r="Q49" s="17"/>
      <c r="R49" s="117"/>
      <c r="S49" s="437" t="str">
        <f>IF(LANGUAGE="English","Total expenses to be paid / refunded","I alt at udbetale eller tilbagebetale")</f>
        <v>Total expenses to be paid / refunded</v>
      </c>
      <c r="T49" s="438"/>
      <c r="U49" s="438"/>
      <c r="V49" s="438"/>
      <c r="W49" s="438"/>
      <c r="X49" s="438"/>
      <c r="Y49" s="438"/>
      <c r="Z49" s="438"/>
      <c r="AA49" s="438"/>
      <c r="AB49" s="438"/>
      <c r="AC49" s="438"/>
      <c r="AD49" s="438"/>
      <c r="AE49" s="438"/>
      <c r="AF49" s="438"/>
      <c r="AG49" s="438"/>
      <c r="AH49" s="438"/>
      <c r="AI49" s="438"/>
      <c r="AJ49" s="439"/>
      <c r="AK49" s="400" t="str">
        <f>IF(AND(AK47="",AL48=""),"",SUM(AK47,-IF(AL48="",0,AL48)))</f>
        <v/>
      </c>
      <c r="AL49" s="391"/>
      <c r="AM49" s="391"/>
      <c r="AN49" s="391"/>
      <c r="AO49" s="392"/>
      <c r="AP49" s="2"/>
      <c r="AQ49" s="2"/>
      <c r="AR49" s="2"/>
      <c r="AS49" s="2"/>
      <c r="AT49" s="2"/>
      <c r="AU49" s="2"/>
      <c r="AV49" s="2"/>
      <c r="AW49" s="3"/>
      <c r="AX49" s="2"/>
      <c r="AY49" s="2"/>
      <c r="AZ49" s="2"/>
      <c r="BA49" s="2"/>
      <c r="BB49" s="3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</row>
    <row r="50" spans="2:65" x14ac:dyDescent="0.2">
      <c r="B50" s="424" t="str">
        <f>IF(LANGUAGE="English","Confirmation of the above:","Bekræftelse af ovenstående:")</f>
        <v>Confirmation of the above:</v>
      </c>
      <c r="C50" s="424"/>
      <c r="D50" s="424"/>
      <c r="E50" s="424"/>
      <c r="F50" s="424"/>
      <c r="G50" s="424"/>
      <c r="H50" s="424"/>
      <c r="I50" s="424"/>
      <c r="J50" s="424"/>
      <c r="K50" s="424"/>
      <c r="L50" s="424"/>
      <c r="M50" s="424"/>
      <c r="N50" s="424"/>
      <c r="O50" s="424"/>
      <c r="P50" s="325"/>
      <c r="Q50" s="325"/>
      <c r="R50" s="325"/>
      <c r="S50" s="325"/>
      <c r="T50" s="325"/>
      <c r="U50" s="325"/>
      <c r="V50" s="325"/>
      <c r="W50" s="325"/>
      <c r="X50" s="325"/>
      <c r="Y50" s="325"/>
      <c r="Z50" s="325"/>
      <c r="AA50" s="325"/>
      <c r="AB50" s="325"/>
      <c r="AC50" s="325"/>
      <c r="AD50" s="325"/>
      <c r="AE50" s="325"/>
      <c r="AF50" s="325"/>
      <c r="AG50" s="325"/>
      <c r="AH50" s="325"/>
      <c r="AI50" s="325"/>
      <c r="AJ50" s="325"/>
      <c r="AK50" s="325"/>
      <c r="AL50" s="325"/>
      <c r="AM50" s="325"/>
      <c r="AN50" s="325"/>
      <c r="AO50" s="325"/>
      <c r="AP50" s="2"/>
      <c r="AQ50" s="2"/>
      <c r="AR50" s="2"/>
      <c r="AS50" s="2"/>
      <c r="AT50" s="2"/>
      <c r="AU50" s="2"/>
      <c r="AV50" s="2"/>
      <c r="AW50" s="3"/>
      <c r="AX50" s="2"/>
      <c r="AY50" s="2"/>
      <c r="AZ50" s="2"/>
      <c r="BA50" s="2"/>
      <c r="BB50" s="3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</row>
    <row r="51" spans="2:65" ht="4.5" customHeight="1" x14ac:dyDescent="0.2">
      <c r="B51" s="226"/>
      <c r="C51" s="226"/>
      <c r="D51" s="226"/>
      <c r="E51" s="226"/>
      <c r="F51" s="226"/>
      <c r="G51" s="226"/>
      <c r="H51" s="226"/>
      <c r="I51" s="226"/>
      <c r="J51" s="226"/>
      <c r="K51" s="226"/>
      <c r="L51" s="226"/>
      <c r="M51" s="226"/>
      <c r="N51" s="226"/>
      <c r="O51" s="226"/>
      <c r="P51" s="226"/>
      <c r="Q51" s="226"/>
      <c r="R51" s="226"/>
      <c r="S51" s="226"/>
      <c r="T51" s="226"/>
      <c r="U51" s="226"/>
      <c r="V51" s="226"/>
      <c r="W51" s="226"/>
      <c r="X51" s="226"/>
      <c r="Y51" s="226"/>
      <c r="Z51" s="226"/>
      <c r="AA51" s="226"/>
      <c r="AB51" s="226"/>
      <c r="AC51" s="226"/>
      <c r="AD51" s="226"/>
      <c r="AE51" s="226"/>
      <c r="AF51" s="226"/>
      <c r="AG51" s="226"/>
      <c r="AH51" s="226"/>
      <c r="AI51" s="226"/>
      <c r="AJ51" s="226"/>
      <c r="AK51" s="226"/>
      <c r="AL51" s="226"/>
      <c r="AM51" s="226"/>
      <c r="AN51" s="226"/>
      <c r="AO51" s="226"/>
      <c r="AP51" s="2"/>
      <c r="AQ51" s="2"/>
      <c r="AR51" s="2"/>
      <c r="AS51" s="2"/>
      <c r="AT51" s="2"/>
      <c r="AU51" s="2"/>
      <c r="AV51" s="2"/>
      <c r="AW51" s="3"/>
      <c r="AX51" s="2"/>
      <c r="AY51" s="2"/>
      <c r="AZ51" s="2"/>
      <c r="BA51" s="2"/>
      <c r="BB51" s="3"/>
      <c r="BC51" s="2"/>
      <c r="BD51" s="2"/>
      <c r="BE51" s="2"/>
      <c r="BF51" s="2"/>
    </row>
    <row r="52" spans="2:65" ht="24" customHeight="1" x14ac:dyDescent="0.2">
      <c r="B52" s="228"/>
      <c r="C52" s="229"/>
      <c r="D52" s="125"/>
      <c r="E52" s="231"/>
      <c r="F52" s="231"/>
      <c r="G52" s="231"/>
      <c r="H52" s="231"/>
      <c r="I52" s="231"/>
      <c r="J52" s="231"/>
      <c r="K52" s="231"/>
      <c r="L52" s="231"/>
      <c r="M52" s="231"/>
      <c r="N52" s="231"/>
      <c r="O52" s="231"/>
      <c r="P52" s="17"/>
      <c r="Q52" s="17"/>
      <c r="R52" s="17"/>
      <c r="S52" s="17"/>
      <c r="T52" s="227"/>
      <c r="U52" s="227"/>
      <c r="V52" s="227"/>
      <c r="W52" s="233"/>
      <c r="X52" s="233"/>
      <c r="Y52" s="233"/>
      <c r="Z52" s="233"/>
      <c r="AA52" s="233"/>
      <c r="AB52" s="233"/>
      <c r="AC52" s="233"/>
      <c r="AD52" s="233"/>
      <c r="AE52" s="233"/>
      <c r="AF52" s="233"/>
      <c r="AG52" s="233"/>
      <c r="AH52" s="233"/>
      <c r="AI52" s="233"/>
      <c r="AJ52" s="233"/>
      <c r="AK52" s="233"/>
      <c r="AL52" s="233"/>
      <c r="AM52" s="233"/>
      <c r="AN52" s="233"/>
      <c r="AO52" s="233"/>
      <c r="AP52" s="2"/>
      <c r="AQ52" s="2"/>
      <c r="AR52" s="2"/>
      <c r="AS52" s="2"/>
      <c r="AT52" s="2"/>
      <c r="AU52" s="2"/>
      <c r="AV52" s="2"/>
      <c r="AW52" s="3"/>
      <c r="AX52" s="2"/>
      <c r="AY52" s="2"/>
      <c r="AZ52" s="2"/>
      <c r="BA52" s="2"/>
      <c r="BB52" s="3"/>
      <c r="BC52" s="2"/>
      <c r="BD52" s="2"/>
      <c r="BE52" s="2"/>
      <c r="BF52" s="2"/>
    </row>
    <row r="53" spans="2:65" ht="18" customHeight="1" x14ac:dyDescent="0.2">
      <c r="B53" s="183" t="str">
        <f>IF(LANGUAGE="English","Date","Dato")</f>
        <v>Date</v>
      </c>
      <c r="C53" s="183"/>
      <c r="D53" s="19"/>
      <c r="E53" s="232" t="str">
        <f>IF(LANGUAGE="English","Signature of the traveller","Underskrift (af den rejsende)")</f>
        <v>Signature of the traveller</v>
      </c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17"/>
      <c r="Q53" s="17"/>
      <c r="R53" s="17"/>
      <c r="S53" s="17"/>
      <c r="T53" s="193" t="str">
        <f>B53</f>
        <v>Date</v>
      </c>
      <c r="U53" s="193"/>
      <c r="V53" s="193"/>
      <c r="W53" s="230" t="str">
        <f>IF(LANGUAGE="English","AUID   Signature (Project finance administrator/controller)","AUID     Underskrift (Projektøkonom/forretningscontroller)")</f>
        <v>AUID   Signature (Project finance administrator/controller)</v>
      </c>
      <c r="X53" s="230"/>
      <c r="Y53" s="230"/>
      <c r="Z53" s="230"/>
      <c r="AA53" s="230"/>
      <c r="AB53" s="230"/>
      <c r="AC53" s="230"/>
      <c r="AD53" s="230"/>
      <c r="AE53" s="230"/>
      <c r="AF53" s="230"/>
      <c r="AG53" s="230"/>
      <c r="AH53" s="230"/>
      <c r="AI53" s="230"/>
      <c r="AJ53" s="230"/>
      <c r="AK53" s="230"/>
      <c r="AL53" s="230"/>
      <c r="AM53" s="230"/>
      <c r="AN53" s="230"/>
      <c r="AO53" s="230"/>
      <c r="AP53" s="2"/>
      <c r="AQ53" s="2"/>
      <c r="AR53" s="2"/>
      <c r="AS53" s="2"/>
      <c r="AT53" s="2"/>
      <c r="AU53" s="2"/>
      <c r="AV53" s="2"/>
      <c r="AW53" s="3"/>
      <c r="AX53" s="2"/>
      <c r="AY53" s="2"/>
      <c r="AZ53" s="2"/>
      <c r="BA53" s="2"/>
      <c r="BB53" s="3"/>
      <c r="BC53" s="2"/>
      <c r="BD53" s="2"/>
      <c r="BE53" s="2"/>
      <c r="BF53" s="2"/>
    </row>
    <row r="54" spans="2:65" ht="9.75" customHeight="1" x14ac:dyDescent="0.2">
      <c r="B54" s="20"/>
      <c r="C54" s="20"/>
      <c r="D54" s="17"/>
      <c r="E54" s="8"/>
      <c r="F54" s="8"/>
      <c r="G54" s="8"/>
      <c r="H54" s="8"/>
      <c r="I54" s="8"/>
      <c r="J54" s="8"/>
      <c r="K54" s="8"/>
      <c r="L54" s="20"/>
      <c r="M54" s="20"/>
      <c r="N54" s="20"/>
      <c r="O54" s="20"/>
      <c r="P54" s="17"/>
      <c r="Q54" s="20"/>
      <c r="R54" s="20"/>
      <c r="S54" s="20"/>
      <c r="T54" s="17"/>
      <c r="U54" s="17"/>
      <c r="V54" s="17"/>
      <c r="W54" s="20"/>
      <c r="X54" s="20"/>
      <c r="Y54" s="20"/>
      <c r="Z54" s="20"/>
      <c r="AA54" s="20"/>
      <c r="AB54" s="20"/>
      <c r="AC54" s="20"/>
      <c r="AD54" s="20"/>
      <c r="AE54" s="20"/>
      <c r="AF54" s="20"/>
      <c r="AG54" s="20"/>
      <c r="AH54" s="20"/>
      <c r="AI54" s="20"/>
      <c r="AJ54" s="20"/>
      <c r="AK54" s="20"/>
      <c r="AL54" s="20"/>
      <c r="AM54" s="20"/>
      <c r="AN54" s="20"/>
      <c r="AO54" s="20"/>
      <c r="AP54" s="2"/>
      <c r="AQ54" s="2"/>
      <c r="AR54" s="2"/>
      <c r="AS54" s="2"/>
      <c r="AT54" s="2"/>
      <c r="AU54" s="2"/>
      <c r="AV54" s="2"/>
      <c r="AW54" s="3"/>
      <c r="AX54" s="2"/>
      <c r="AY54" s="2"/>
      <c r="AZ54" s="2"/>
      <c r="BA54" s="2"/>
      <c r="BB54" s="3"/>
      <c r="BC54" s="2"/>
      <c r="BD54" s="2"/>
      <c r="BE54" s="2"/>
      <c r="BF54" s="2"/>
    </row>
    <row r="55" spans="2:65" x14ac:dyDescent="0.2">
      <c r="B55" s="14"/>
      <c r="C55" s="14"/>
      <c r="D55" s="14"/>
      <c r="E55" s="14"/>
      <c r="F55" s="14"/>
      <c r="G55" s="14"/>
      <c r="H55" s="14"/>
      <c r="I55" s="14"/>
      <c r="AP55" s="2"/>
      <c r="AQ55" s="2"/>
      <c r="AR55" s="2"/>
      <c r="AS55" s="2"/>
      <c r="AT55" s="2"/>
      <c r="AU55" s="2"/>
      <c r="AV55" s="2"/>
      <c r="AW55" s="3"/>
      <c r="AX55" s="2"/>
      <c r="AY55" s="2"/>
      <c r="AZ55" s="2"/>
      <c r="BA55" s="2"/>
      <c r="BB55" s="3"/>
      <c r="BC55" s="2"/>
      <c r="BD55" s="2"/>
      <c r="BE55" s="2"/>
      <c r="BF55" s="2"/>
    </row>
    <row r="56" spans="2:65" x14ac:dyDescent="0.2">
      <c r="B56" s="14"/>
      <c r="C56" s="14"/>
      <c r="D56" s="14"/>
      <c r="E56" s="14"/>
      <c r="F56" s="14"/>
      <c r="G56" s="14"/>
      <c r="H56" s="14"/>
      <c r="I56" s="14"/>
      <c r="AP56" s="2"/>
      <c r="AQ56" s="2"/>
      <c r="AR56" s="2"/>
      <c r="AS56" s="2"/>
      <c r="AT56" s="2"/>
      <c r="AU56" s="2"/>
      <c r="AV56" s="2"/>
      <c r="AW56" s="3"/>
      <c r="AX56" s="2"/>
      <c r="AY56" s="2"/>
      <c r="AZ56" s="2"/>
      <c r="BA56" s="2"/>
      <c r="BB56" s="3"/>
      <c r="BC56" s="2"/>
      <c r="BD56" s="2"/>
      <c r="BE56" s="2"/>
      <c r="BF56" s="2"/>
    </row>
    <row r="57" spans="2:65" x14ac:dyDescent="0.2">
      <c r="B57" s="12"/>
      <c r="C57" s="12"/>
      <c r="D57" s="12"/>
      <c r="E57" s="12"/>
      <c r="F57" s="12"/>
      <c r="G57" s="14"/>
      <c r="H57" s="14"/>
      <c r="I57" s="14"/>
      <c r="AP57" s="2"/>
      <c r="AQ57" s="2"/>
      <c r="AR57" s="2"/>
      <c r="AS57" s="2"/>
      <c r="AT57" s="2"/>
      <c r="AU57" s="2"/>
      <c r="AV57" s="2"/>
      <c r="AW57" s="3"/>
      <c r="AX57" s="2"/>
      <c r="AY57" s="2"/>
      <c r="AZ57" s="2"/>
      <c r="BA57" s="2"/>
      <c r="BB57" s="3"/>
      <c r="BC57" s="2"/>
      <c r="BD57" s="2"/>
      <c r="BE57" s="2"/>
      <c r="BF57" s="2"/>
    </row>
    <row r="58" spans="2:65" x14ac:dyDescent="0.2">
      <c r="B58" s="12" t="str">
        <f>LANGUAGE</f>
        <v>English</v>
      </c>
      <c r="C58" s="12"/>
      <c r="D58" s="12"/>
      <c r="E58" s="12"/>
      <c r="F58" s="12"/>
      <c r="G58" s="14"/>
      <c r="H58" s="14"/>
      <c r="I58" s="14"/>
      <c r="AP58" s="2"/>
      <c r="AQ58" s="2"/>
      <c r="AR58" s="2"/>
      <c r="AS58" s="2"/>
      <c r="AT58" s="2"/>
      <c r="AU58" s="2"/>
      <c r="AV58" s="2"/>
      <c r="AW58" s="3"/>
      <c r="AX58" s="2"/>
      <c r="AY58" s="2"/>
      <c r="AZ58" s="2"/>
      <c r="BA58" s="2"/>
      <c r="BB58" s="3"/>
      <c r="BC58" s="2"/>
      <c r="BD58" s="2"/>
      <c r="BE58" s="2"/>
      <c r="BF58" s="2"/>
    </row>
    <row r="59" spans="2:65" x14ac:dyDescent="0.2">
      <c r="B59" s="13">
        <f>Beregninger!I49</f>
        <v>0</v>
      </c>
      <c r="C59" s="12"/>
      <c r="D59" s="12"/>
      <c r="E59" s="12"/>
      <c r="F59" s="12"/>
      <c r="G59" s="14"/>
      <c r="H59" s="14"/>
      <c r="I59" s="14"/>
      <c r="AP59" s="2"/>
      <c r="AQ59" s="2"/>
      <c r="AR59" s="2"/>
      <c r="AS59" s="2"/>
      <c r="AT59" s="2"/>
      <c r="AU59" s="2"/>
      <c r="AV59" s="2"/>
      <c r="AW59" s="3"/>
      <c r="AX59" s="2"/>
      <c r="AY59" s="2"/>
      <c r="AZ59" s="2"/>
      <c r="BA59" s="2"/>
      <c r="BB59" s="3"/>
      <c r="BC59" s="2"/>
      <c r="BD59" s="2"/>
      <c r="BE59" s="2"/>
      <c r="BF59" s="2"/>
    </row>
    <row r="60" spans="2:65" x14ac:dyDescent="0.2">
      <c r="B60" s="13" t="str">
        <f>IF(LANGUAGE="English","Departments","Afdelinger")</f>
        <v>Departments</v>
      </c>
      <c r="C60" s="12"/>
      <c r="D60" s="12"/>
      <c r="E60" s="12"/>
      <c r="F60" s="12"/>
      <c r="G60" s="14"/>
      <c r="H60" s="14"/>
      <c r="I60" s="14"/>
      <c r="AP60" s="2"/>
      <c r="AQ60" s="2"/>
      <c r="AR60" s="2"/>
      <c r="AS60" s="2"/>
      <c r="AT60" s="2"/>
      <c r="AU60" s="2"/>
      <c r="AV60" s="2"/>
      <c r="AW60" s="3"/>
      <c r="AX60" s="2"/>
      <c r="AY60" s="2"/>
      <c r="AZ60" s="2"/>
      <c r="BA60" s="2"/>
      <c r="BB60" s="3"/>
      <c r="BC60" s="2"/>
      <c r="BD60" s="2"/>
      <c r="BE60" s="2"/>
      <c r="BF60" s="2"/>
    </row>
    <row r="61" spans="2:65" x14ac:dyDescent="0.2">
      <c r="B61" s="12" t="str">
        <f>Beregninger!K19</f>
        <v/>
      </c>
      <c r="C61" s="12" t="str">
        <f>IF(OR(Beregninger!K18="MI",Beregninger!K18="DI"),"x","")</f>
        <v/>
      </c>
      <c r="D61" s="12"/>
      <c r="E61" s="12"/>
      <c r="F61" s="12"/>
      <c r="G61" s="14"/>
      <c r="H61" s="14"/>
      <c r="I61" s="14"/>
      <c r="AP61" s="2"/>
      <c r="AQ61" s="2"/>
      <c r="AR61" s="2"/>
      <c r="AS61" s="2"/>
      <c r="AT61" s="2"/>
      <c r="AU61" s="2"/>
      <c r="AV61" s="2"/>
      <c r="AW61" s="3"/>
      <c r="AX61" s="2"/>
      <c r="AY61" s="2"/>
      <c r="AZ61" s="2"/>
      <c r="BA61" s="2"/>
      <c r="BB61" s="3"/>
      <c r="BC61" s="2"/>
      <c r="BD61" s="2"/>
      <c r="BE61" s="2"/>
      <c r="BF61" s="2"/>
    </row>
    <row r="62" spans="2:65" x14ac:dyDescent="0.2">
      <c r="B62" s="12" t="str">
        <f>IF(LANGUAGE="English","Typee","Typed")</f>
        <v>Typee</v>
      </c>
      <c r="C62" s="12"/>
      <c r="D62" s="12"/>
      <c r="E62" s="12"/>
      <c r="F62" s="12"/>
      <c r="G62" s="14"/>
      <c r="H62" s="14"/>
      <c r="I62" s="14"/>
      <c r="AP62" s="2"/>
      <c r="AQ62" s="2"/>
      <c r="AR62" s="2"/>
      <c r="AS62" s="2"/>
      <c r="AT62" s="2"/>
      <c r="AU62" s="2"/>
      <c r="AV62" s="2"/>
      <c r="AW62" s="3"/>
      <c r="AX62" s="2"/>
      <c r="AY62" s="2"/>
      <c r="AZ62" s="2"/>
      <c r="BA62" s="2"/>
      <c r="BB62" s="3"/>
      <c r="BC62" s="2"/>
      <c r="BD62" s="2"/>
      <c r="BE62" s="2"/>
      <c r="BF62" s="2"/>
    </row>
    <row r="63" spans="2:65" x14ac:dyDescent="0.2">
      <c r="B63" s="12" t="str">
        <f>Valuta!M2</f>
        <v>Set currency rate</v>
      </c>
      <c r="C63" s="12"/>
      <c r="D63" s="12"/>
      <c r="E63" s="12"/>
      <c r="F63" s="12"/>
      <c r="G63" s="14"/>
      <c r="H63" s="14"/>
      <c r="I63" s="14"/>
    </row>
    <row r="64" spans="2:65" x14ac:dyDescent="0.2">
      <c r="B64" s="12"/>
      <c r="C64" s="12"/>
      <c r="D64" s="12"/>
      <c r="E64" s="12"/>
      <c r="F64" s="12"/>
      <c r="G64" s="14"/>
      <c r="H64" s="14"/>
      <c r="I64" s="14"/>
    </row>
    <row r="65" spans="2:9" x14ac:dyDescent="0.2">
      <c r="B65" s="12"/>
      <c r="C65" s="12"/>
      <c r="D65" s="12"/>
      <c r="E65" s="12"/>
      <c r="F65" s="12"/>
      <c r="G65" s="14"/>
      <c r="H65" s="14"/>
      <c r="I65" s="14"/>
    </row>
    <row r="66" spans="2:9" x14ac:dyDescent="0.2">
      <c r="B66" s="12"/>
      <c r="C66" s="12"/>
      <c r="D66" s="12"/>
      <c r="E66" s="12"/>
      <c r="F66" s="12"/>
      <c r="G66" s="14"/>
      <c r="H66" s="14"/>
      <c r="I66" s="14"/>
    </row>
    <row r="67" spans="2:9" x14ac:dyDescent="0.2">
      <c r="B67" s="12"/>
      <c r="C67" s="12"/>
      <c r="D67" s="12"/>
      <c r="E67" s="12"/>
      <c r="F67" s="12"/>
      <c r="G67" s="14"/>
      <c r="H67" s="14"/>
      <c r="I67" s="14"/>
    </row>
    <row r="68" spans="2:9" x14ac:dyDescent="0.2">
      <c r="B68" s="14"/>
      <c r="C68" s="14"/>
      <c r="D68" s="14"/>
      <c r="E68" s="14"/>
      <c r="F68" s="14"/>
      <c r="G68" s="14"/>
      <c r="H68" s="14"/>
      <c r="I68" s="14"/>
    </row>
    <row r="69" spans="2:9" x14ac:dyDescent="0.2">
      <c r="B69" s="14"/>
      <c r="C69" s="14"/>
      <c r="D69" s="14"/>
      <c r="E69" s="14"/>
      <c r="F69" s="14"/>
      <c r="G69" s="14"/>
      <c r="H69" s="14"/>
      <c r="I69" s="14"/>
    </row>
    <row r="70" spans="2:9" x14ac:dyDescent="0.2">
      <c r="B70" s="14"/>
      <c r="C70" s="14"/>
      <c r="D70" s="14"/>
      <c r="E70" s="14"/>
      <c r="F70" s="14"/>
      <c r="G70" s="14"/>
      <c r="H70" s="14"/>
      <c r="I70" s="14"/>
    </row>
    <row r="71" spans="2:9" x14ac:dyDescent="0.2">
      <c r="B71" s="14"/>
      <c r="C71" s="14"/>
      <c r="D71" s="14"/>
      <c r="E71" s="14"/>
      <c r="F71" s="14"/>
      <c r="G71" s="14"/>
      <c r="H71" s="14"/>
      <c r="I71" s="14"/>
    </row>
    <row r="72" spans="2:9" x14ac:dyDescent="0.2">
      <c r="B72" s="14"/>
      <c r="C72" s="14"/>
      <c r="D72" s="14"/>
      <c r="E72" s="14"/>
      <c r="F72" s="14"/>
      <c r="G72" s="14"/>
      <c r="H72" s="14"/>
      <c r="I72" s="14"/>
    </row>
    <row r="73" spans="2:9" x14ac:dyDescent="0.2">
      <c r="B73" s="14"/>
      <c r="C73" s="14"/>
      <c r="D73" s="14"/>
      <c r="E73" s="14"/>
      <c r="F73" s="14"/>
      <c r="G73" s="14"/>
      <c r="H73" s="14"/>
      <c r="I73" s="14"/>
    </row>
    <row r="74" spans="2:9" x14ac:dyDescent="0.2">
      <c r="B74" s="14"/>
      <c r="C74" s="14"/>
      <c r="D74" s="14"/>
      <c r="E74" s="14"/>
      <c r="F74" s="14"/>
      <c r="G74" s="14"/>
      <c r="H74" s="14"/>
      <c r="I74" s="14"/>
    </row>
    <row r="75" spans="2:9" x14ac:dyDescent="0.2">
      <c r="B75" s="14"/>
      <c r="C75" s="14"/>
      <c r="D75" s="14"/>
      <c r="E75" s="14"/>
      <c r="F75" s="14"/>
      <c r="G75" s="14"/>
      <c r="H75" s="14"/>
      <c r="I75" s="14"/>
    </row>
    <row r="76" spans="2:9" x14ac:dyDescent="0.2">
      <c r="B76" s="14"/>
      <c r="C76" s="14"/>
      <c r="D76" s="14"/>
      <c r="E76" s="14"/>
      <c r="F76" s="14"/>
      <c r="G76" s="14"/>
      <c r="H76" s="14"/>
      <c r="I76" s="14"/>
    </row>
    <row r="77" spans="2:9" x14ac:dyDescent="0.2">
      <c r="B77" s="14"/>
      <c r="C77" s="14"/>
      <c r="D77" s="14"/>
      <c r="E77" s="14"/>
      <c r="F77" s="14"/>
      <c r="G77" s="14"/>
      <c r="H77" s="14"/>
      <c r="I77" s="14"/>
    </row>
    <row r="78" spans="2:9" x14ac:dyDescent="0.2">
      <c r="B78" s="14"/>
      <c r="C78" s="14"/>
      <c r="D78" s="14"/>
      <c r="E78" s="14"/>
      <c r="F78" s="14"/>
      <c r="G78" s="14"/>
      <c r="H78" s="14"/>
      <c r="I78" s="14"/>
    </row>
    <row r="79" spans="2:9" x14ac:dyDescent="0.2">
      <c r="B79" s="14"/>
      <c r="C79" s="14"/>
      <c r="D79" s="14"/>
      <c r="E79" s="14"/>
      <c r="F79" s="14"/>
      <c r="G79" s="14"/>
      <c r="H79" s="14"/>
      <c r="I79" s="14"/>
    </row>
    <row r="80" spans="2:9" x14ac:dyDescent="0.2">
      <c r="B80" s="14"/>
      <c r="C80" s="14"/>
      <c r="D80" s="14"/>
      <c r="E80" s="14"/>
      <c r="F80" s="14"/>
      <c r="G80" s="14"/>
      <c r="H80" s="14"/>
      <c r="I80" s="14"/>
    </row>
    <row r="81" spans="2:9" x14ac:dyDescent="0.2">
      <c r="B81" s="14"/>
      <c r="C81" s="14"/>
      <c r="D81" s="14"/>
      <c r="E81" s="14"/>
      <c r="F81" s="14"/>
      <c r="G81" s="14"/>
      <c r="H81" s="14"/>
      <c r="I81" s="14"/>
    </row>
    <row r="82" spans="2:9" x14ac:dyDescent="0.2">
      <c r="B82" s="14"/>
      <c r="C82" s="14"/>
      <c r="D82" s="14"/>
      <c r="E82" s="14"/>
      <c r="F82" s="14"/>
      <c r="G82" s="14"/>
      <c r="H82" s="14"/>
      <c r="I82" s="14"/>
    </row>
    <row r="83" spans="2:9" x14ac:dyDescent="0.2">
      <c r="B83" s="14"/>
      <c r="C83" s="14"/>
      <c r="D83" s="14"/>
      <c r="E83" s="14"/>
      <c r="F83" s="14"/>
      <c r="G83" s="14"/>
      <c r="H83" s="14"/>
      <c r="I83" s="14"/>
    </row>
    <row r="84" spans="2:9" x14ac:dyDescent="0.2">
      <c r="B84" s="14"/>
      <c r="C84" s="14"/>
      <c r="D84" s="14"/>
      <c r="E84" s="14"/>
      <c r="F84" s="14"/>
      <c r="G84" s="14"/>
      <c r="H84" s="14"/>
      <c r="I84" s="14"/>
    </row>
    <row r="85" spans="2:9" x14ac:dyDescent="0.2">
      <c r="B85" s="14"/>
      <c r="C85" s="14"/>
      <c r="D85" s="14"/>
      <c r="E85" s="14"/>
      <c r="F85" s="14"/>
      <c r="G85" s="14"/>
      <c r="H85" s="14"/>
      <c r="I85" s="14"/>
    </row>
    <row r="86" spans="2:9" x14ac:dyDescent="0.2">
      <c r="B86" s="14"/>
      <c r="C86" s="14"/>
      <c r="D86" s="14"/>
      <c r="E86" s="14"/>
      <c r="F86" s="14"/>
      <c r="G86" s="14"/>
      <c r="H86" s="14"/>
      <c r="I86" s="14"/>
    </row>
    <row r="87" spans="2:9" x14ac:dyDescent="0.2">
      <c r="B87" s="14"/>
      <c r="C87" s="14"/>
      <c r="D87" s="14"/>
      <c r="E87" s="14"/>
      <c r="F87" s="14"/>
      <c r="G87" s="14"/>
      <c r="H87" s="14"/>
      <c r="I87" s="14"/>
    </row>
  </sheetData>
  <sheetProtection algorithmName="SHA-512" hashValue="M/lPHIJ9/tIQp2vpwC3mLW6FMKiHHjJ0U9fw6fd6shFKzXqWupvuGGXN5wtSFlubJGIbWM8YEGOXeEDsxdcKQA==" saltValue="Os/QXhuHF0RYyPwaoDHC7g==" spinCount="100000" sheet="1" objects="1" scenarios="1"/>
  <mergeCells count="194">
    <mergeCell ref="P50:AO50"/>
    <mergeCell ref="B50:O50"/>
    <mergeCell ref="N49:O49"/>
    <mergeCell ref="S26:X26"/>
    <mergeCell ref="S27:X27"/>
    <mergeCell ref="S28:X28"/>
    <mergeCell ref="S29:X29"/>
    <mergeCell ref="S30:X30"/>
    <mergeCell ref="S31:X31"/>
    <mergeCell ref="S32:X32"/>
    <mergeCell ref="S33:X33"/>
    <mergeCell ref="AE42:AJ44"/>
    <mergeCell ref="D26:R26"/>
    <mergeCell ref="AD28:AJ28"/>
    <mergeCell ref="B26:C26"/>
    <mergeCell ref="AL48:AO48"/>
    <mergeCell ref="AK47:AO47"/>
    <mergeCell ref="S48:AJ48"/>
    <mergeCell ref="S49:AJ49"/>
    <mergeCell ref="K48:L48"/>
    <mergeCell ref="K49:L49"/>
    <mergeCell ref="N48:O48"/>
    <mergeCell ref="K45:P45"/>
    <mergeCell ref="S36:W36"/>
    <mergeCell ref="AK49:AO49"/>
    <mergeCell ref="S45:AJ45"/>
    <mergeCell ref="S47:AJ47"/>
    <mergeCell ref="B42:R44"/>
    <mergeCell ref="K47:L47"/>
    <mergeCell ref="N47:O47"/>
    <mergeCell ref="S37:W37"/>
    <mergeCell ref="AK45:AO45"/>
    <mergeCell ref="AK42:AO44"/>
    <mergeCell ref="S42:W42"/>
    <mergeCell ref="B46:AO46"/>
    <mergeCell ref="B37:H38"/>
    <mergeCell ref="S39:AD41"/>
    <mergeCell ref="I38:Q38"/>
    <mergeCell ref="S44:W44"/>
    <mergeCell ref="I40:Q40"/>
    <mergeCell ref="B39:H40"/>
    <mergeCell ref="I41:Q41"/>
    <mergeCell ref="Z38:AB38"/>
    <mergeCell ref="AE37:AJ41"/>
    <mergeCell ref="I37:Q37"/>
    <mergeCell ref="AK36:AN36"/>
    <mergeCell ref="AR22:AV22"/>
    <mergeCell ref="AF22:AI22"/>
    <mergeCell ref="AD22:AE22"/>
    <mergeCell ref="AG15:AK15"/>
    <mergeCell ref="S43:W43"/>
    <mergeCell ref="Z43:AB43"/>
    <mergeCell ref="AL15:AM15"/>
    <mergeCell ref="AD32:AJ32"/>
    <mergeCell ref="Y29:AC29"/>
    <mergeCell ref="G16:S18"/>
    <mergeCell ref="AD18:AK18"/>
    <mergeCell ref="I29:R29"/>
    <mergeCell ref="AD29:AJ29"/>
    <mergeCell ref="S38:W38"/>
    <mergeCell ref="R37:R41"/>
    <mergeCell ref="J36:K36"/>
    <mergeCell ref="B35:AO35"/>
    <mergeCell ref="AK34:AO34"/>
    <mergeCell ref="B34:R34"/>
    <mergeCell ref="AD23:AJ23"/>
    <mergeCell ref="AK26:AO26"/>
    <mergeCell ref="AK27:AO27"/>
    <mergeCell ref="AK37:AO41"/>
    <mergeCell ref="B1:P1"/>
    <mergeCell ref="B2:P2"/>
    <mergeCell ref="S34:AJ34"/>
    <mergeCell ref="B36:E36"/>
    <mergeCell ref="Q2:W2"/>
    <mergeCell ref="AD31:AJ31"/>
    <mergeCell ref="AD33:AJ33"/>
    <mergeCell ref="Y32:AC32"/>
    <mergeCell ref="Y33:AC33"/>
    <mergeCell ref="AD30:AJ30"/>
    <mergeCell ref="M31:R31"/>
    <mergeCell ref="B21:R22"/>
    <mergeCell ref="M36:R36"/>
    <mergeCell ref="AD36:AJ36"/>
    <mergeCell ref="F36:I36"/>
    <mergeCell ref="AD26:AJ26"/>
    <mergeCell ref="S21:W21"/>
    <mergeCell ref="S23:W23"/>
    <mergeCell ref="AA22:AB22"/>
    <mergeCell ref="AI1:AO1"/>
    <mergeCell ref="Y2:AD2"/>
    <mergeCell ref="Z36:AB36"/>
    <mergeCell ref="D27:R27"/>
    <mergeCell ref="H30:R30"/>
    <mergeCell ref="AK29:AO29"/>
    <mergeCell ref="B27:C27"/>
    <mergeCell ref="AK31:AO31"/>
    <mergeCell ref="AK28:AO28"/>
    <mergeCell ref="AK30:AO30"/>
    <mergeCell ref="B29:H29"/>
    <mergeCell ref="B28:C28"/>
    <mergeCell ref="Y30:AC30"/>
    <mergeCell ref="M32:R32"/>
    <mergeCell ref="AK32:AO32"/>
    <mergeCell ref="Y27:AC27"/>
    <mergeCell ref="AL2:AO2"/>
    <mergeCell ref="B3:P3"/>
    <mergeCell ref="B9:F9"/>
    <mergeCell ref="B14:F15"/>
    <mergeCell ref="W7:AB7"/>
    <mergeCell ref="W14:AA15"/>
    <mergeCell ref="B4:AO4"/>
    <mergeCell ref="B6:F6"/>
    <mergeCell ref="B7:F7"/>
    <mergeCell ref="G5:S5"/>
    <mergeCell ref="B8:F8"/>
    <mergeCell ref="W5:AE5"/>
    <mergeCell ref="G14:H14"/>
    <mergeCell ref="B13:AO13"/>
    <mergeCell ref="AB15:AC15"/>
    <mergeCell ref="J15:Q15"/>
    <mergeCell ref="AF5:AO5"/>
    <mergeCell ref="AC10:AO10"/>
    <mergeCell ref="W3:AE3"/>
    <mergeCell ref="AF3:AO3"/>
    <mergeCell ref="B5:F5"/>
    <mergeCell ref="W6:AO6"/>
    <mergeCell ref="G6:S6"/>
    <mergeCell ref="G8:S8"/>
    <mergeCell ref="G7:S7"/>
    <mergeCell ref="W9:AB9"/>
    <mergeCell ref="B10:F10"/>
    <mergeCell ref="H19:AE19"/>
    <mergeCell ref="AB16:AK16"/>
    <mergeCell ref="AC8:AO8"/>
    <mergeCell ref="AL7:AO7"/>
    <mergeCell ref="AC11:AO11"/>
    <mergeCell ref="AC12:AO12"/>
    <mergeCell ref="AC7:AK7"/>
    <mergeCell ref="G10:S10"/>
    <mergeCell ref="W11:AB11"/>
    <mergeCell ref="W12:AB12"/>
    <mergeCell ref="W8:AB8"/>
    <mergeCell ref="AC9:AO9"/>
    <mergeCell ref="G9:S9"/>
    <mergeCell ref="W10:AB10"/>
    <mergeCell ref="AL14:AO14"/>
    <mergeCell ref="G15:I15"/>
    <mergeCell ref="AB14:AK14"/>
    <mergeCell ref="I14:S14"/>
    <mergeCell ref="B16:F18"/>
    <mergeCell ref="AL16:AO16"/>
    <mergeCell ref="B51:AO51"/>
    <mergeCell ref="T53:V53"/>
    <mergeCell ref="T52:V52"/>
    <mergeCell ref="B53:C53"/>
    <mergeCell ref="B52:C52"/>
    <mergeCell ref="W53:AO53"/>
    <mergeCell ref="E52:O52"/>
    <mergeCell ref="E53:O53"/>
    <mergeCell ref="W52:AO52"/>
    <mergeCell ref="AK33:AO33"/>
    <mergeCell ref="B30:G30"/>
    <mergeCell ref="AD27:AJ27"/>
    <mergeCell ref="AB20:AC20"/>
    <mergeCell ref="AL17:AM17"/>
    <mergeCell ref="W16:AA17"/>
    <mergeCell ref="W20:Y20"/>
    <mergeCell ref="AG17:AK17"/>
    <mergeCell ref="B33:I33"/>
    <mergeCell ref="B31:F31"/>
    <mergeCell ref="B32:F32"/>
    <mergeCell ref="H32:I32"/>
    <mergeCell ref="Y31:AC31"/>
    <mergeCell ref="Y28:AC28"/>
    <mergeCell ref="Y26:AC26"/>
    <mergeCell ref="D28:R28"/>
    <mergeCell ref="J33:R33"/>
    <mergeCell ref="AK23:AO25"/>
    <mergeCell ref="AK21:AN21"/>
    <mergeCell ref="Y21:AC21"/>
    <mergeCell ref="AD21:AJ21"/>
    <mergeCell ref="Y25:AC25"/>
    <mergeCell ref="AB17:AC17"/>
    <mergeCell ref="W18:AA18"/>
    <mergeCell ref="S25:W25"/>
    <mergeCell ref="AD25:AJ25"/>
    <mergeCell ref="AF24:AI24"/>
    <mergeCell ref="T20:V20"/>
    <mergeCell ref="U22:V22"/>
    <mergeCell ref="AN18:AO18"/>
    <mergeCell ref="Y23:AC23"/>
    <mergeCell ref="B24:R25"/>
    <mergeCell ref="AA24:AB24"/>
    <mergeCell ref="U24:V24"/>
  </mergeCells>
  <phoneticPr fontId="0" type="noConversion"/>
  <conditionalFormatting sqref="B2:P2">
    <cfRule type="expression" dxfId="24" priority="25" stopIfTrue="1">
      <formula>$B$2=" &gt; Vælg afdeling / Pick department &lt;"</formula>
    </cfRule>
  </conditionalFormatting>
  <conditionalFormatting sqref="E20:AC20">
    <cfRule type="expression" dxfId="23" priority="15" stopIfTrue="1">
      <formula>AND(OR(Valuta=Valuta2,Valuta=Valuta3),Valuta&lt;&gt;"")</formula>
    </cfRule>
  </conditionalFormatting>
  <conditionalFormatting sqref="H19">
    <cfRule type="expression" dxfId="22" priority="9" stopIfTrue="1">
      <formula>$H$19&lt;&gt;""</formula>
    </cfRule>
  </conditionalFormatting>
  <conditionalFormatting sqref="J15">
    <cfRule type="expression" dxfId="21" priority="41" stopIfTrue="1">
      <formula>$I$15="Andet land"</formula>
    </cfRule>
  </conditionalFormatting>
  <conditionalFormatting sqref="J36">
    <cfRule type="expression" dxfId="20" priority="28" stopIfTrue="1">
      <formula>($C$61="x")</formula>
    </cfRule>
  </conditionalFormatting>
  <conditionalFormatting sqref="R15:S15">
    <cfRule type="expression" dxfId="19" priority="42" stopIfTrue="1">
      <formula>$I$15&lt;&gt;"Andet land"</formula>
    </cfRule>
  </conditionalFormatting>
  <conditionalFormatting sqref="V8:AC8">
    <cfRule type="expression" dxfId="18" priority="6" stopIfTrue="1">
      <formula>$AL$2="Dansk"</formula>
    </cfRule>
  </conditionalFormatting>
  <conditionalFormatting sqref="V7:AP7 AP8">
    <cfRule type="expression" dxfId="17" priority="7" stopIfTrue="1">
      <formula>$AL$2="Dansk"</formula>
    </cfRule>
  </conditionalFormatting>
  <conditionalFormatting sqref="V9:AP12">
    <cfRule type="expression" dxfId="16" priority="2" stopIfTrue="1">
      <formula>$AL$2="Dansk"</formula>
    </cfRule>
  </conditionalFormatting>
  <conditionalFormatting sqref="W6:AO6">
    <cfRule type="expression" dxfId="15" priority="1">
      <formula>$AL$2="English"</formula>
    </cfRule>
  </conditionalFormatting>
  <conditionalFormatting sqref="AD18:AK18">
    <cfRule type="expression" dxfId="14" priority="27" stopIfTrue="1">
      <formula>OR($AD$18="Fejl i indtastning",$AD$18="Input error")</formula>
    </cfRule>
  </conditionalFormatting>
  <conditionalFormatting sqref="AK26">
    <cfRule type="expression" dxfId="13" priority="26" stopIfTrue="1">
      <formula>$AK$26="Set currency rate"</formula>
    </cfRule>
  </conditionalFormatting>
  <conditionalFormatting sqref="AK29">
    <cfRule type="expression" dxfId="12" priority="22" stopIfTrue="1">
      <formula>$AK$29="Set currency rate"</formula>
    </cfRule>
  </conditionalFormatting>
  <conditionalFormatting sqref="AK31">
    <cfRule type="expression" dxfId="11" priority="20" stopIfTrue="1">
      <formula>$AK$31="Set currency rate"</formula>
    </cfRule>
  </conditionalFormatting>
  <conditionalFormatting sqref="AK32">
    <cfRule type="expression" dxfId="10" priority="19" stopIfTrue="1">
      <formula>$AK$32="Set currency rate"</formula>
    </cfRule>
  </conditionalFormatting>
  <conditionalFormatting sqref="AK48">
    <cfRule type="expression" dxfId="9" priority="54" stopIfTrue="1">
      <formula>#REF!=TRUE</formula>
    </cfRule>
  </conditionalFormatting>
  <conditionalFormatting sqref="AK27:AO27">
    <cfRule type="expression" dxfId="8" priority="24" stopIfTrue="1">
      <formula>$AK$27="Set Currency rate"</formula>
    </cfRule>
  </conditionalFormatting>
  <conditionalFormatting sqref="AK28:AO28">
    <cfRule type="expression" dxfId="7" priority="23" stopIfTrue="1">
      <formula>$AK$28="Set currency rate"</formula>
    </cfRule>
  </conditionalFormatting>
  <conditionalFormatting sqref="AK30:AO30">
    <cfRule type="expression" dxfId="6" priority="18" stopIfTrue="1">
      <formula>$AK$30="Set currency rate"</formula>
    </cfRule>
  </conditionalFormatting>
  <conditionalFormatting sqref="AK33:AO33">
    <cfRule type="expression" dxfId="5" priority="17" stopIfTrue="1">
      <formula>$AK$33="Set currency rate"</formula>
    </cfRule>
  </conditionalFormatting>
  <conditionalFormatting sqref="AK37:AO41">
    <cfRule type="expression" dxfId="4" priority="61" stopIfTrue="1">
      <formula>$AK$37=$B$63</formula>
    </cfRule>
  </conditionalFormatting>
  <conditionalFormatting sqref="AK42:AO44">
    <cfRule type="expression" dxfId="3" priority="60" stopIfTrue="1">
      <formula>$AK$42=$B$63</formula>
    </cfRule>
  </conditionalFormatting>
  <conditionalFormatting sqref="AL7">
    <cfRule type="expression" dxfId="2" priority="8" stopIfTrue="1">
      <formula>Valuta="Other"</formula>
    </cfRule>
  </conditionalFormatting>
  <conditionalFormatting sqref="AL2:AO2">
    <cfRule type="expression" dxfId="1" priority="52" stopIfTrue="1">
      <formula>$B$58="Vælg / Pick"</formula>
    </cfRule>
  </conditionalFormatting>
  <conditionalFormatting sqref="AL48:AO48">
    <cfRule type="expression" dxfId="0" priority="53" stopIfTrue="1">
      <formula>#REF!=TRUE</formula>
    </cfRule>
  </conditionalFormatting>
  <dataValidations count="13">
    <dataValidation allowBlank="1" showInputMessage="1" showErrorMessage="1" prompt="Fx. EUR or USD" sqref="AL7" xr:uid="{00000000-0002-0000-0000-000000000000}"/>
    <dataValidation type="list" allowBlank="1" showInputMessage="1" showErrorMessage="1" sqref="Y2 AR9" xr:uid="{00000000-0002-0000-0000-000001000000}">
      <formula1>INDIRECT($B$62)</formula1>
    </dataValidation>
    <dataValidation type="list" allowBlank="1" showInputMessage="1" showErrorMessage="1" sqref="AB15:AC15 AB17:AC17" xr:uid="{00000000-0002-0000-0000-000002000000}">
      <formula1>"01,02,03,04,05,06,07,08,09,10,11,12,13,14,15,16,17,18,19,20,21,22,23,24,25,26,27,28,29,30,31"</formula1>
    </dataValidation>
    <dataValidation type="list" allowBlank="1" showInputMessage="1" showErrorMessage="1" sqref="AE15 AE17" xr:uid="{00000000-0002-0000-0000-000003000000}">
      <formula1>"01,02,03,04,05,06,07,08,09,10,11,12"</formula1>
    </dataValidation>
    <dataValidation type="list" allowBlank="1" showInputMessage="1" showErrorMessage="1" sqref="AG17:AK17 AG15:AK15" xr:uid="{00000000-0002-0000-0000-000004000000}">
      <formula1>"2025,2026"</formula1>
    </dataValidation>
    <dataValidation type="list" allowBlank="1" showInputMessage="1" showErrorMessage="1" sqref="AL15:AM15 AL17:AM17" xr:uid="{00000000-0002-0000-0000-000005000000}">
      <formula1>"00,01,02,03,04,05,06,07,08,09,10,11,12,13,14,15,16,17,18,19,20,21,22,23"</formula1>
    </dataValidation>
    <dataValidation type="list" allowBlank="1" showInputMessage="1" showErrorMessage="1" sqref="AO15 AO17" xr:uid="{00000000-0002-0000-0000-000006000000}">
      <formula1>"00,01,02,03,04,05,06,07,08,09,10,11,12,13,14,15,16,17,18,19,20,21,22,23,24,25,26,27,28,29,30,31,32,33,34,35,36,37,38,39,40,41,42,43,44,45,46,47,48,49,50,51,52,53,54,55,56,57,58,59"</formula1>
    </dataValidation>
    <dataValidation type="list" allowBlank="1" errorTitle="Fejl i indtastning" error="Vælg rejsemålets land i listen._x000a__x000a_Hvis landet ikke findes i listen, så vælg 'Andet land' og angiv landet i cellen til højre." promptTitle="Angiv rejsemålets land" prompt="Vælg rejsemålets land i listen._x000a__x000a_Hvis landet ikke findes i listen, så vælg 'Andet land' og angiv landet i cellen til højre." sqref="J15:Q15" xr:uid="{00000000-0002-0000-0000-000007000000}">
      <formula1>INDIRECT(LANGUAGE)</formula1>
    </dataValidation>
    <dataValidation type="list" allowBlank="1" showInputMessage="1" showErrorMessage="1" sqref="AA22:AB22 AF22:AI22" xr:uid="{00000000-0002-0000-0000-000008000000}">
      <formula1>Vtyper</formula1>
    </dataValidation>
    <dataValidation type="list" allowBlank="1" showDropDown="1" showInputMessage="1" showErrorMessage="1" sqref="U22:V22" xr:uid="{00000000-0002-0000-0000-000009000000}">
      <formula1>"DKK"</formula1>
    </dataValidation>
    <dataValidation type="whole" allowBlank="1" showInputMessage="1" showErrorMessage="1" sqref="U24:V24" xr:uid="{00000000-0002-0000-0000-00000A000000}">
      <formula1>100</formula1>
      <formula2>100</formula2>
    </dataValidation>
    <dataValidation type="list" allowBlank="1" showInputMessage="1" showErrorMessage="1" prompt="Fx. EUR or USD" sqref="AC7" xr:uid="{00000000-0002-0000-0000-00000B000000}">
      <formula1>Vtyper</formula1>
    </dataValidation>
    <dataValidation type="list" allowBlank="1" showInputMessage="1" showErrorMessage="1" sqref="AL2:AO2" xr:uid="{00000000-0002-0000-0000-00000C000000}">
      <formula1>Sprog</formula1>
    </dataValidation>
  </dataValidations>
  <pageMargins left="0.59055118110236227" right="0.19685039370078741" top="1.1811023622047245" bottom="0.23622047244094491" header="0" footer="0"/>
  <pageSetup paperSize="9" scale="80" orientation="portrait" r:id="rId1"/>
  <headerFooter alignWithMargins="0">
    <oddHeader>&amp;L
&amp;G</oddHeader>
  </headerFooter>
  <ignoredErrors>
    <ignoredError sqref="AL7" unlockedFormula="1"/>
  </ignoredErrors>
  <drawing r:id="rId2"/>
  <legacyDrawing r:id="rId3"/>
  <legacyDrawingHF r:id="rId4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255" r:id="rId5" name="Check Box 183">
              <controlPr locked="0" defaultSize="0" autoFill="0" autoLine="0" autoPict="0">
                <anchor moveWithCells="1">
                  <from>
                    <xdr:col>5</xdr:col>
                    <xdr:colOff>137160</xdr:colOff>
                    <xdr:row>30</xdr:row>
                    <xdr:rowOff>22860</xdr:rowOff>
                  </from>
                  <to>
                    <xdr:col>7</xdr:col>
                    <xdr:colOff>76200</xdr:colOff>
                    <xdr:row>30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478" r:id="rId6" name="Check Box 406">
              <controlPr locked="0" defaultSize="0" autoFill="0" autoLine="0" autoPict="0">
                <anchor moveWithCells="1">
                  <from>
                    <xdr:col>8</xdr:col>
                    <xdr:colOff>365760</xdr:colOff>
                    <xdr:row>30</xdr:row>
                    <xdr:rowOff>22860</xdr:rowOff>
                  </from>
                  <to>
                    <xdr:col>10</xdr:col>
                    <xdr:colOff>114300</xdr:colOff>
                    <xdr:row>30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481" r:id="rId7" name="Check Box 16361">
              <controlPr locked="0" defaultSize="0" autoFill="0" autoLine="0" autoPict="0">
                <anchor moveWithCells="1">
                  <from>
                    <xdr:col>5</xdr:col>
                    <xdr:colOff>137160</xdr:colOff>
                    <xdr:row>31</xdr:row>
                    <xdr:rowOff>22860</xdr:rowOff>
                  </from>
                  <to>
                    <xdr:col>7</xdr:col>
                    <xdr:colOff>76200</xdr:colOff>
                    <xdr:row>31</xdr:row>
                    <xdr:rowOff>251460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19" r:id="rId8" name="Check Box 16399">
              <controlPr locked="0" defaultSize="0" autoFill="0" autoLine="0" autoPict="0">
                <anchor moveWithCells="1">
                  <from>
                    <xdr:col>8</xdr:col>
                    <xdr:colOff>365760</xdr:colOff>
                    <xdr:row>31</xdr:row>
                    <xdr:rowOff>22860</xdr:rowOff>
                  </from>
                  <to>
                    <xdr:col>10</xdr:col>
                    <xdr:colOff>114300</xdr:colOff>
                    <xdr:row>31</xdr:row>
                    <xdr:rowOff>251460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Ark2"/>
  <dimension ref="B2:M37"/>
  <sheetViews>
    <sheetView workbookViewId="0">
      <selection activeCell="AG17" sqref="AG17:AK17"/>
    </sheetView>
  </sheetViews>
  <sheetFormatPr defaultColWidth="9" defaultRowHeight="17.25" customHeight="1" x14ac:dyDescent="0.2"/>
  <cols>
    <col min="9" max="9" width="11.75" customWidth="1"/>
    <col min="12" max="12" width="17.75" customWidth="1"/>
  </cols>
  <sheetData>
    <row r="2" spans="2:13" ht="17.25" customHeight="1" x14ac:dyDescent="0.2">
      <c r="K2" s="3" t="s">
        <v>185</v>
      </c>
      <c r="M2" t="str">
        <f>IF(LANGUAGE="English",K3,K2)</f>
        <v>Set currency rate</v>
      </c>
    </row>
    <row r="3" spans="2:13" ht="17.25" customHeight="1" x14ac:dyDescent="0.2">
      <c r="B3" t="s">
        <v>198</v>
      </c>
      <c r="D3" s="3" t="s">
        <v>186</v>
      </c>
      <c r="K3" s="3" t="s">
        <v>228</v>
      </c>
    </row>
    <row r="4" spans="2:13" ht="17.25" customHeight="1" x14ac:dyDescent="0.2">
      <c r="D4" s="102"/>
      <c r="E4" s="103"/>
      <c r="F4" s="103"/>
      <c r="G4" s="104" t="s">
        <v>176</v>
      </c>
      <c r="H4" s="103"/>
      <c r="I4" s="105" t="s">
        <v>176</v>
      </c>
      <c r="L4" s="3" t="s">
        <v>187</v>
      </c>
      <c r="M4" s="3" t="s">
        <v>188</v>
      </c>
    </row>
    <row r="5" spans="2:13" ht="17.25" customHeight="1" x14ac:dyDescent="0.2">
      <c r="B5" s="3" t="s">
        <v>8</v>
      </c>
      <c r="D5" s="106" t="s">
        <v>174</v>
      </c>
      <c r="E5" t="str">
        <f>IF(AND(Valuta=Valuta2,Valuta&lt;&gt;""),"TRUE","FALSE")</f>
        <v>FALSE</v>
      </c>
      <c r="G5">
        <f>IF(E5="TRUE",kurs1/100,1)</f>
        <v>1</v>
      </c>
      <c r="I5" s="107">
        <f>IF(AND(G5=1,G6=1),1,IF(Valuta2=Valuta3,G5,G5+G6-1))</f>
        <v>1</v>
      </c>
      <c r="K5" t="s">
        <v>177</v>
      </c>
      <c r="L5">
        <f>SUM('Rejseafregning '!S26/100*'Rejseafregning '!$U$24,kurs1/100*'Rejseafregning '!Y26,kurs2/100*'Rejseafregning '!AD26)/$I$5</f>
        <v>0</v>
      </c>
      <c r="M5" s="3">
        <f>IF(ISERROR(L5),$M$2,L5)</f>
        <v>0</v>
      </c>
    </row>
    <row r="6" spans="2:13" ht="17.25" customHeight="1" x14ac:dyDescent="0.2">
      <c r="B6" s="3" t="s">
        <v>193</v>
      </c>
      <c r="D6" s="106" t="s">
        <v>175</v>
      </c>
      <c r="E6" t="str">
        <f>IF(AND(Valuta=Valuta3,Valuta&lt;&gt;""),"TRUE","FALSE")</f>
        <v>FALSE</v>
      </c>
      <c r="G6">
        <f>IF(E6="TRUE",kurs2/100,1)</f>
        <v>1</v>
      </c>
      <c r="I6" s="107"/>
      <c r="K6" t="s">
        <v>178</v>
      </c>
      <c r="L6">
        <f>SUM('Rejseafregning '!S27/100*'Rejseafregning '!$U$24,kurs1/100*'Rejseafregning '!Y27,kurs2/100*'Rejseafregning '!AD27)/$I$5</f>
        <v>0</v>
      </c>
      <c r="M6" s="3">
        <f t="shared" ref="M6:M16" si="0">IF(ISERROR(L6),$M$2,L6)</f>
        <v>0</v>
      </c>
    </row>
    <row r="7" spans="2:13" ht="17.25" customHeight="1" x14ac:dyDescent="0.2">
      <c r="B7" s="3" t="s">
        <v>192</v>
      </c>
      <c r="D7" s="108"/>
      <c r="E7" s="109"/>
      <c r="F7" s="109"/>
      <c r="G7" s="109"/>
      <c r="H7" s="109"/>
      <c r="I7" s="110"/>
      <c r="K7" t="s">
        <v>179</v>
      </c>
      <c r="L7">
        <f>SUM('Rejseafregning '!S28/100*'Rejseafregning '!$U$24,kurs1/100*'Rejseafregning '!Y28,kurs2/100*'Rejseafregning '!AD28)/$I$5</f>
        <v>0</v>
      </c>
      <c r="M7" s="3">
        <f t="shared" si="0"/>
        <v>0</v>
      </c>
    </row>
    <row r="8" spans="2:13" ht="17.25" customHeight="1" x14ac:dyDescent="0.2">
      <c r="B8" s="3" t="s">
        <v>191</v>
      </c>
      <c r="K8" t="s">
        <v>180</v>
      </c>
      <c r="L8">
        <f>SUM('Rejseafregning '!S29/100*'Rejseafregning '!$U$24,kurs1/100*'Rejseafregning '!Y29,kurs2/100*'Rejseafregning '!AD29)/$I$5</f>
        <v>0</v>
      </c>
      <c r="M8" s="3">
        <f t="shared" si="0"/>
        <v>0</v>
      </c>
    </row>
    <row r="9" spans="2:13" ht="17.25" customHeight="1" x14ac:dyDescent="0.2">
      <c r="B9" s="3" t="s">
        <v>189</v>
      </c>
      <c r="K9" t="s">
        <v>181</v>
      </c>
      <c r="L9">
        <f>SUM('Rejseafregning '!S30/100*'Rejseafregning '!$U$24,kurs1/100*'Rejseafregning '!Y30,kurs2/100*'Rejseafregning '!AD30)/$I$5</f>
        <v>0</v>
      </c>
      <c r="M9" s="3">
        <f t="shared" si="0"/>
        <v>0</v>
      </c>
    </row>
    <row r="10" spans="2:13" ht="17.25" customHeight="1" x14ac:dyDescent="0.2">
      <c r="B10" s="3" t="s">
        <v>190</v>
      </c>
      <c r="K10" t="s">
        <v>182</v>
      </c>
      <c r="L10">
        <f>SUM('Rejseafregning '!S31/100*'Rejseafregning '!$U$24,kurs1/100*'Rejseafregning '!Y31,kurs2/100*'Rejseafregning '!AD31)/$I$5</f>
        <v>0</v>
      </c>
      <c r="M10" s="3">
        <f t="shared" si="0"/>
        <v>0</v>
      </c>
    </row>
    <row r="11" spans="2:13" ht="17.25" customHeight="1" x14ac:dyDescent="0.2">
      <c r="B11" s="3" t="s">
        <v>199</v>
      </c>
      <c r="K11" t="s">
        <v>183</v>
      </c>
      <c r="L11">
        <f>SUM('Rejseafregning '!S32/100*'Rejseafregning '!$U$24,kurs1/100*'Rejseafregning '!Y32,kurs2/100*'Rejseafregning '!AD32)/$I$5</f>
        <v>0</v>
      </c>
      <c r="M11" s="3">
        <f t="shared" si="0"/>
        <v>0</v>
      </c>
    </row>
    <row r="12" spans="2:13" ht="17.25" customHeight="1" x14ac:dyDescent="0.2">
      <c r="B12" s="3" t="s">
        <v>200</v>
      </c>
      <c r="K12" t="s">
        <v>184</v>
      </c>
      <c r="L12">
        <f>SUM('Rejseafregning '!S33/100*'Rejseafregning '!$U$24,kurs1/100*'Rejseafregning '!Y33,kurs2/100*'Rejseafregning '!AD33)/$I$5</f>
        <v>0</v>
      </c>
      <c r="M12" s="3">
        <f t="shared" si="0"/>
        <v>0</v>
      </c>
    </row>
    <row r="13" spans="2:13" ht="17.25" customHeight="1" x14ac:dyDescent="0.2">
      <c r="B13" s="3" t="s">
        <v>201</v>
      </c>
      <c r="K13" t="s">
        <v>194</v>
      </c>
      <c r="L13" t="str">
        <f>IF(OR('Rejseafregning '!S38="",'Rejseafregning '!Z38=""),"",('Rejseafregning '!S38*'Rejseafregning '!Z38)/$I$5)</f>
        <v/>
      </c>
      <c r="M13" s="3" t="str">
        <f t="shared" si="0"/>
        <v/>
      </c>
    </row>
    <row r="14" spans="2:13" ht="17.25" customHeight="1" x14ac:dyDescent="0.2">
      <c r="B14" s="3" t="s">
        <v>202</v>
      </c>
      <c r="K14" t="s">
        <v>195</v>
      </c>
      <c r="L14" s="11" t="e">
        <f>SUM('Rejseafregning '!#REF!)/$I$5</f>
        <v>#REF!</v>
      </c>
      <c r="M14" s="3" t="str">
        <f t="shared" si="0"/>
        <v>Set currency rate</v>
      </c>
    </row>
    <row r="15" spans="2:13" ht="17.25" customHeight="1" x14ac:dyDescent="0.2">
      <c r="B15" s="3" t="s">
        <v>203</v>
      </c>
      <c r="K15" t="s">
        <v>196</v>
      </c>
      <c r="L15" s="11" t="e">
        <f>SUM('Rejseafregning '!#REF!)/$I$5</f>
        <v>#REF!</v>
      </c>
      <c r="M15" s="3" t="str">
        <f t="shared" si="0"/>
        <v>Set currency rate</v>
      </c>
    </row>
    <row r="16" spans="2:13" ht="17.25" customHeight="1" x14ac:dyDescent="0.2">
      <c r="B16" s="3" t="s">
        <v>204</v>
      </c>
      <c r="K16" t="s">
        <v>197</v>
      </c>
      <c r="L16">
        <f>('Rejseafregning '!S43*'Rejseafregning '!Z43)/Valuta!$I$5</f>
        <v>0</v>
      </c>
      <c r="M16" s="3">
        <f t="shared" si="0"/>
        <v>0</v>
      </c>
    </row>
    <row r="17" spans="2:2" ht="17.25" customHeight="1" x14ac:dyDescent="0.2">
      <c r="B17" s="3" t="s">
        <v>205</v>
      </c>
    </row>
    <row r="18" spans="2:2" ht="17.25" customHeight="1" x14ac:dyDescent="0.2">
      <c r="B18" s="3" t="s">
        <v>206</v>
      </c>
    </row>
    <row r="19" spans="2:2" ht="17.25" customHeight="1" x14ac:dyDescent="0.2">
      <c r="B19" s="3" t="s">
        <v>207</v>
      </c>
    </row>
    <row r="20" spans="2:2" ht="17.25" customHeight="1" x14ac:dyDescent="0.2">
      <c r="B20" s="3" t="s">
        <v>208</v>
      </c>
    </row>
    <row r="21" spans="2:2" ht="17.25" customHeight="1" x14ac:dyDescent="0.2">
      <c r="B21" s="3" t="s">
        <v>209</v>
      </c>
    </row>
    <row r="22" spans="2:2" ht="17.25" customHeight="1" x14ac:dyDescent="0.2">
      <c r="B22" s="3" t="s">
        <v>210</v>
      </c>
    </row>
    <row r="23" spans="2:2" ht="17.25" customHeight="1" x14ac:dyDescent="0.2">
      <c r="B23" s="3" t="s">
        <v>211</v>
      </c>
    </row>
    <row r="24" spans="2:2" ht="17.25" customHeight="1" x14ac:dyDescent="0.2">
      <c r="B24" s="3" t="s">
        <v>212</v>
      </c>
    </row>
    <row r="25" spans="2:2" ht="17.25" customHeight="1" x14ac:dyDescent="0.2">
      <c r="B25" s="3" t="s">
        <v>213</v>
      </c>
    </row>
    <row r="26" spans="2:2" ht="17.25" customHeight="1" x14ac:dyDescent="0.2">
      <c r="B26" s="3" t="s">
        <v>214</v>
      </c>
    </row>
    <row r="27" spans="2:2" ht="17.25" customHeight="1" x14ac:dyDescent="0.2">
      <c r="B27" s="3" t="s">
        <v>215</v>
      </c>
    </row>
    <row r="28" spans="2:2" ht="17.25" customHeight="1" x14ac:dyDescent="0.2">
      <c r="B28" s="3" t="s">
        <v>216</v>
      </c>
    </row>
    <row r="29" spans="2:2" ht="17.25" customHeight="1" x14ac:dyDescent="0.2">
      <c r="B29" s="3" t="s">
        <v>217</v>
      </c>
    </row>
    <row r="30" spans="2:2" ht="17.25" customHeight="1" x14ac:dyDescent="0.2">
      <c r="B30" s="3" t="s">
        <v>218</v>
      </c>
    </row>
    <row r="31" spans="2:2" ht="17.25" customHeight="1" x14ac:dyDescent="0.2">
      <c r="B31" s="3" t="s">
        <v>219</v>
      </c>
    </row>
    <row r="32" spans="2:2" ht="17.25" customHeight="1" x14ac:dyDescent="0.2">
      <c r="B32" s="3" t="s">
        <v>220</v>
      </c>
    </row>
    <row r="33" spans="2:2" ht="17.25" customHeight="1" x14ac:dyDescent="0.2">
      <c r="B33" s="3" t="s">
        <v>221</v>
      </c>
    </row>
    <row r="34" spans="2:2" ht="17.25" customHeight="1" x14ac:dyDescent="0.2">
      <c r="B34" s="3" t="s">
        <v>222</v>
      </c>
    </row>
    <row r="35" spans="2:2" ht="17.25" customHeight="1" x14ac:dyDescent="0.2">
      <c r="B35" s="3" t="s">
        <v>223</v>
      </c>
    </row>
    <row r="36" spans="2:2" ht="17.25" customHeight="1" x14ac:dyDescent="0.2">
      <c r="B36" s="126" t="s">
        <v>240</v>
      </c>
    </row>
    <row r="37" spans="2:2" ht="17.25" customHeight="1" x14ac:dyDescent="0.2">
      <c r="B37" s="3" t="s">
        <v>224</v>
      </c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Ark3"/>
  <dimension ref="A1:O127"/>
  <sheetViews>
    <sheetView workbookViewId="0">
      <selection activeCell="H2" sqref="H2"/>
    </sheetView>
  </sheetViews>
  <sheetFormatPr defaultColWidth="9" defaultRowHeight="15" customHeight="1" x14ac:dyDescent="0.2"/>
  <cols>
    <col min="3" max="3" width="23.375" customWidth="1"/>
  </cols>
  <sheetData>
    <row r="1" spans="2:15" ht="15" customHeight="1" x14ac:dyDescent="0.2">
      <c r="B1" s="3" t="s">
        <v>158</v>
      </c>
      <c r="E1" t="str">
        <f>IF(LANGUAGE="English","faculty","Fakultetet")</f>
        <v>faculty</v>
      </c>
      <c r="H1" s="3" t="s">
        <v>233</v>
      </c>
      <c r="J1" t="str">
        <f>IF(AND(SUM('Rejseafregning '!Y26:AD33)&lt;&gt;0,kurs1="",kurs2=""),H2,"")</f>
        <v/>
      </c>
    </row>
    <row r="2" spans="2:15" ht="15" customHeight="1" x14ac:dyDescent="0.2">
      <c r="B2" t="s">
        <v>153</v>
      </c>
      <c r="E2" t="str">
        <f>IF(LANGUAGE="English","department","Instituttet")</f>
        <v>department</v>
      </c>
      <c r="H2" s="3" t="str">
        <f>IF(LANGUAGE="English","Notice: expenses i non-danish currency is not calculated without exchange rate","Bemærk: udgifter i fremmed valuta medregnes ikke uden kurs sats")</f>
        <v>Notice: expenses i non-danish currency is not calculated without exchange rate</v>
      </c>
    </row>
    <row r="3" spans="2:15" ht="15" customHeight="1" x14ac:dyDescent="0.2">
      <c r="B3" t="s">
        <v>154</v>
      </c>
      <c r="H3" s="54"/>
    </row>
    <row r="5" spans="2:15" ht="15" customHeight="1" x14ac:dyDescent="0.2">
      <c r="K5" s="3" t="s">
        <v>149</v>
      </c>
    </row>
    <row r="6" spans="2:15" ht="15" customHeight="1" x14ac:dyDescent="0.2">
      <c r="B6" s="3" t="s">
        <v>235</v>
      </c>
      <c r="C6" s="5">
        <f>IF(OR(AND(Valuta&lt;&gt;Valuta2,Valuta&lt;&gt;Valuta3),Valuta="",AND(kurs1="",kurs2="",)),1,IF(Valuta2=Valuta,kurs1,kurs2))</f>
        <v>1</v>
      </c>
      <c r="D6" s="3">
        <f>IF(C6=1,1,C6/100)</f>
        <v>1</v>
      </c>
      <c r="E6" s="6"/>
      <c r="F6" s="6">
        <v>1</v>
      </c>
      <c r="G6" s="5">
        <v>2</v>
      </c>
      <c r="O6" t="s">
        <v>152</v>
      </c>
    </row>
    <row r="7" spans="2:15" ht="15" customHeight="1" x14ac:dyDescent="0.2">
      <c r="C7" s="8" t="str">
        <f>IF(H33="FALSE","",IF(AND('Rejseafregning '!$AK$26="",'Rejseafregning '!$AK$27="",'Rejseafregning '!$AK$28="",'Rejseafregning '!$AK$29=""),"",IF(OR(Nation="Danmark",Nation="Denmark",Nation=""),3215,3214)))</f>
        <v/>
      </c>
      <c r="D7" s="8" t="str">
        <f t="array" aca="1" ref="D7" ca="1">IF(ROW()-ROW(NOBLANKSRANGE)+1&gt;ROWS(Blanksrange)-COUNTBLANK(Blanksrange),"",INDIRECT(ADDRESS(SMALL((IF(Blanksrange&lt;&gt;"",ROW(Blanksrange),ROW()+ROWS(Blanksrange))),ROW()-ROW(NOBLANKSRANGE)+1),COLUMN(Blanksrange),4)))</f>
        <v/>
      </c>
      <c r="E7" s="9">
        <f>IF(OR(Nation="DANMARK",Nation="Denmark",Nation=""),3215,3214)</f>
        <v>3215</v>
      </c>
      <c r="F7" s="10" t="str">
        <f>IF(SUM('Rejseafregning '!$AK$26:$AO$29)=0,"",SUM('Rejseafregning '!$AK$26:$AO$29))</f>
        <v/>
      </c>
      <c r="G7" s="10" t="str">
        <f>IF($H$33="FALSE","",F7)</f>
        <v/>
      </c>
      <c r="K7" s="2" t="str">
        <f ca="1">D7</f>
        <v/>
      </c>
      <c r="L7" t="str">
        <f ca="1">IF(OR($K7="3213-d",$K7="3213-u"),3213,IF(OR($K7="3212-d",$K7="3212-u"),3212,IF(OR($K7="3222-m",$K7="3222-u"),3222,$K7)))</f>
        <v/>
      </c>
      <c r="M7">
        <f t="shared" ref="M7:M14" ca="1" si="0">IF(OR($K7="3222-u",$K7="3222-m"),"",IF($K7="3213-d",12,IF($K7=" ","",IF(AND($K7&lt;&gt;"3222-m",$K7&lt;&gt;"3222-u"),IF($K7=6710,0,10),10))))</f>
        <v>10</v>
      </c>
      <c r="O7" s="11" t="str">
        <f>IF(ISERROR(ROUND(A,2)),"",ROUND(A,2))</f>
        <v/>
      </c>
    </row>
    <row r="8" spans="2:15" ht="15" customHeight="1" x14ac:dyDescent="0.2">
      <c r="C8" s="8" t="str">
        <f>IF(H33="FALSE","",IF(F="","",IF(OR(Nation="Danmark",Nation="Denmark"),"3213-d","3212-d")))</f>
        <v/>
      </c>
      <c r="D8" s="8" t="str">
        <f t="array" aca="1" ref="D8" ca="1">IF(ROW()-ROW(NOBLANKSRANGE)+1&gt;ROWS(Blanksrange)-COUNTBLANK(Blanksrange),"",INDIRECT(ADDRESS(SMALL((IF(Blanksrange&lt;&gt;"",ROW(Blanksrange),ROW()+ROWS(Blanksrange))),ROW()-ROW(NOBLANKSRANGE)+1),COLUMN(Blanksrange),4)))</f>
        <v/>
      </c>
      <c r="E8" s="9" t="str">
        <f>$C$8</f>
        <v/>
      </c>
      <c r="F8" s="10" t="str">
        <f>IF('Rejseafregning '!$AK$31=0,"",'Rejseafregning '!$AK$31)</f>
        <v/>
      </c>
      <c r="G8" s="10" t="str">
        <f t="shared" ref="G8:G13" si="1">IF($H$33="FALSE","",F8)</f>
        <v/>
      </c>
      <c r="K8" s="2" t="str">
        <f t="shared" ref="K8:K14" ca="1" si="2">D8</f>
        <v/>
      </c>
      <c r="L8" t="str">
        <f t="shared" ref="L8:L14" ca="1" si="3">IF(OR($K8="3213-d",$K8="3213-u"),3213,IF(OR($K8="3212-d",$K8="3212-u"),3212,IF(OR($K8="3222-m",$K8="3222-u"),3222,$K8)))</f>
        <v/>
      </c>
      <c r="M8">
        <f t="shared" ca="1" si="0"/>
        <v>10</v>
      </c>
      <c r="O8" s="11" t="str">
        <f>IF(ISERROR(ROUND(B,2)),"",ROUND(B,2))</f>
        <v/>
      </c>
    </row>
    <row r="9" spans="2:15" ht="15" customHeight="1" x14ac:dyDescent="0.2">
      <c r="C9" s="8" t="str">
        <f>IF(H33="FALSE","",IF('Rejseafregning '!$AK$32="","",IF(OR(Nation="Danmark",Nation="Denmark"),"3213-u","3212-u")))</f>
        <v/>
      </c>
      <c r="D9" s="8" t="str">
        <f t="array" aca="1" ref="D9" ca="1">IF(ROW()-ROW(NOBLANKSRANGE)+1&gt;ROWS(Blanksrange)-COUNTBLANK(Blanksrange),"",INDIRECT(ADDRESS(SMALL((IF(Blanksrange&lt;&gt;"",ROW(Blanksrange),ROW()+ROWS(Blanksrange))),ROW()-ROW(NOBLANKSRANGE)+1),COLUMN(Blanksrange),4)))</f>
        <v/>
      </c>
      <c r="E9" s="9" t="str">
        <f>$C$9</f>
        <v/>
      </c>
      <c r="F9" s="10" t="str">
        <f>IF('Rejseafregning '!$AK$32=0,"",'Rejseafregning '!$AK$32)</f>
        <v/>
      </c>
      <c r="G9" s="10" t="str">
        <f t="shared" si="1"/>
        <v/>
      </c>
      <c r="K9" s="2" t="str">
        <f t="shared" ca="1" si="2"/>
        <v/>
      </c>
      <c r="L9" t="str">
        <f t="shared" ca="1" si="3"/>
        <v/>
      </c>
      <c r="M9">
        <f t="shared" ca="1" si="0"/>
        <v>10</v>
      </c>
      <c r="O9" s="11" t="str">
        <f>IF(ISERROR(ROUND(Cr,2)),"",ROUND(Cr,2))</f>
        <v/>
      </c>
    </row>
    <row r="10" spans="2:15" ht="15" customHeight="1" x14ac:dyDescent="0.2">
      <c r="C10" s="8" t="str">
        <f>IF(H33="FALSE","",IF('Rejseafregning '!$AK$45="","",3211))</f>
        <v/>
      </c>
      <c r="D10" s="8" t="str">
        <f t="array" aca="1" ref="D10" ca="1">IF(ROW()-ROW(NOBLANKSRANGE)+1&gt;ROWS(Blanksrange)-COUNTBLANK(Blanksrange),"",INDIRECT(ADDRESS(SMALL((IF(Blanksrange&lt;&gt;"",ROW(Blanksrange),ROW()+ROWS(Blanksrange))),ROW()-ROW(NOBLANKSRANGE)+1),COLUMN(Blanksrange),4)))</f>
        <v/>
      </c>
      <c r="E10" s="9">
        <v>3211</v>
      </c>
      <c r="F10" s="10" t="str">
        <f>IF('Rejseafregning '!$AK$45=0,"",'Rejseafregning '!$AK$45)</f>
        <v/>
      </c>
      <c r="G10" s="10" t="str">
        <f t="shared" si="1"/>
        <v/>
      </c>
      <c r="K10" s="2" t="str">
        <f t="shared" ca="1" si="2"/>
        <v/>
      </c>
      <c r="L10" t="str">
        <f t="shared" ca="1" si="3"/>
        <v/>
      </c>
      <c r="M10">
        <f t="shared" ca="1" si="0"/>
        <v>10</v>
      </c>
      <c r="O10" s="11" t="str">
        <f>IF(ISERROR(ROUND(D,2)),"",ROUND(D,2))</f>
        <v/>
      </c>
    </row>
    <row r="11" spans="2:15" ht="15" customHeight="1" x14ac:dyDescent="0.2">
      <c r="C11" s="8" t="str">
        <f>IF(H33="FALSE","",IF('Rejseafregning '!$AK$30="","",IF(MADINDLAND&lt;&gt;0,"3222-m","")))</f>
        <v/>
      </c>
      <c r="D11" s="8" t="str">
        <f t="array" aca="1" ref="D11" ca="1">IF(ROW()-ROW(NOBLANKSRANGE)+1&gt;ROWS(Blanksrange)-COUNTBLANK(Blanksrange),"",INDIRECT(ADDRESS(SMALL((IF(Blanksrange&lt;&gt;"",ROW(Blanksrange),ROW()+ROWS(Blanksrange))),ROW()-ROW(NOBLANKSRANGE)+1),COLUMN(Blanksrange),4)))</f>
        <v/>
      </c>
      <c r="E11" s="9" t="s">
        <v>151</v>
      </c>
      <c r="F11" s="10" t="str">
        <f>IF(OR(AND(MADUDLAND1=0,MADUDLAND2=0),MAD=""),"",MAD-(MADINDLAND/D6))</f>
        <v/>
      </c>
      <c r="G11" s="10" t="str">
        <f t="shared" si="1"/>
        <v/>
      </c>
      <c r="K11" s="2" t="str">
        <f t="shared" ca="1" si="2"/>
        <v/>
      </c>
      <c r="L11" t="str">
        <f t="shared" ca="1" si="3"/>
        <v/>
      </c>
      <c r="M11">
        <f t="shared" ca="1" si="0"/>
        <v>10</v>
      </c>
      <c r="O11" s="11" t="str">
        <f>IF(ISERROR(ROUND(MAD,2)),"",ROUND(MAD,2))</f>
        <v/>
      </c>
    </row>
    <row r="12" spans="2:15" ht="15" customHeight="1" x14ac:dyDescent="0.2">
      <c r="C12" s="8" t="str">
        <f>IF(H33="FALSE","",IF('Rejseafregning '!$AK$30="","",IF(OR(MADUDLAND1&lt;&gt;0,MADUDLAND2&lt;&gt;0),"3222-u","")))</f>
        <v/>
      </c>
      <c r="D12" s="8" t="str">
        <f t="array" aca="1" ref="D12" ca="1">IF(ROW()-ROW(NOBLANKSRANGE)+1&gt;ROWS(Blanksrange)-COUNTBLANK(Blanksrange),"",INDIRECT(ADDRESS(SMALL((IF(Blanksrange&lt;&gt;"",ROW(Blanksrange),ROW()+ROWS(Blanksrange))),ROW()-ROW(NOBLANKSRANGE)+1),COLUMN(Blanksrange),4)))</f>
        <v/>
      </c>
      <c r="E12" s="3" t="s">
        <v>150</v>
      </c>
      <c r="F12" s="10" t="str">
        <f>IF(MADINDLAND=0,"",MADINDLAND/D6)</f>
        <v/>
      </c>
      <c r="G12" s="10" t="str">
        <f t="shared" si="1"/>
        <v/>
      </c>
      <c r="K12" s="2" t="str">
        <f t="shared" ca="1" si="2"/>
        <v/>
      </c>
      <c r="L12" t="str">
        <f t="shared" ca="1" si="3"/>
        <v/>
      </c>
      <c r="M12">
        <f t="shared" ca="1" si="0"/>
        <v>10</v>
      </c>
      <c r="O12" s="11" t="str">
        <f>IF(ISERROR(ROUND(F,2)),"",ROUND(F,2))</f>
        <v/>
      </c>
    </row>
    <row r="13" spans="2:15" ht="15" customHeight="1" x14ac:dyDescent="0.2">
      <c r="C13" s="8" t="str">
        <f>IF(H33="FALSE","",IF('Rejseafregning '!$AK$33="",""," "))</f>
        <v/>
      </c>
      <c r="D13" s="8" t="str">
        <f t="array" aca="1" ref="D13" ca="1">IF(ROW()-ROW(NOBLANKSRANGE)+1&gt;ROWS(Blanksrange)-COUNTBLANK(Blanksrange),"",INDIRECT(ADDRESS(SMALL((IF(Blanksrange&lt;&gt;"",ROW(Blanksrange),ROW()+ROWS(Blanksrange))),ROW()-ROW(NOBLANKSRANGE)+1),COLUMN(Blanksrange),4)))</f>
        <v/>
      </c>
      <c r="E13" s="9" t="str">
        <f>IF(H="",""," ")</f>
        <v/>
      </c>
      <c r="F13" s="10" t="str">
        <f>IF(OR(H="",H=0),"",H)</f>
        <v/>
      </c>
      <c r="G13" s="10" t="str">
        <f t="shared" si="1"/>
        <v/>
      </c>
      <c r="K13" s="2" t="str">
        <f t="shared" ca="1" si="2"/>
        <v/>
      </c>
      <c r="L13" t="str">
        <f t="shared" ca="1" si="3"/>
        <v/>
      </c>
      <c r="M13">
        <f t="shared" ca="1" si="0"/>
        <v>10</v>
      </c>
      <c r="O13" s="11" t="str">
        <f>IF(ISERROR(ROUND(G,2)),"",ROUND(G,2))</f>
        <v/>
      </c>
    </row>
    <row r="14" spans="2:15" ht="15" customHeight="1" x14ac:dyDescent="0.2">
      <c r="C14" s="8" t="str">
        <f>IF(OR(F14="",F14=0),"",IF(H33="FALSE",6710,IF('Rejseafregning '!$AL$48="","",6710)))</f>
        <v/>
      </c>
      <c r="D14" s="8" t="str">
        <f t="array" aca="1" ref="D14" ca="1">IF(ROW()-ROW(NOBLANKSRANGE)+1&gt;ROWS(Blanksrange)-COUNTBLANK(Blanksrange),"",INDIRECT(ADDRESS(SMALL((IF(Blanksrange&lt;&gt;"",ROW(Blanksrange),ROW()+ROWS(Blanksrange))),ROW()-ROW(NOBLANKSRANGE)+1),COLUMN(Blanksrange),4)))</f>
        <v/>
      </c>
      <c r="E14" s="9">
        <v>6710</v>
      </c>
      <c r="F14" s="10" t="str">
        <f>IF(H33="FALSE",SUM(F7:F13),IF('Rejseafregning '!$AL$48=0,"",'Rejseafregning '!$AL$48*-1))</f>
        <v/>
      </c>
      <c r="G14" s="10" t="str">
        <f>F14</f>
        <v/>
      </c>
      <c r="K14" s="2" t="str">
        <f t="shared" ca="1" si="2"/>
        <v/>
      </c>
      <c r="L14" t="str">
        <f t="shared" ca="1" si="3"/>
        <v/>
      </c>
      <c r="M14">
        <f t="shared" ca="1" si="0"/>
        <v>10</v>
      </c>
      <c r="O14" s="11" t="str">
        <f>IF(ISERROR(ROUND(H,2)),"",ROUND(H,2))</f>
        <v/>
      </c>
    </row>
    <row r="15" spans="2:15" ht="15" customHeight="1" x14ac:dyDescent="0.2">
      <c r="K15" s="2" t="str">
        <f>IF(OR(Beregninger!J48="",Beregninger!J48=0),"",Beregninger!J48)</f>
        <v/>
      </c>
    </row>
    <row r="16" spans="2:15" ht="15" customHeight="1" x14ac:dyDescent="0.2">
      <c r="K16" s="2">
        <f>AFDELING</f>
        <v>0</v>
      </c>
    </row>
    <row r="17" spans="1:14" ht="15" customHeight="1" x14ac:dyDescent="0.2">
      <c r="A17" s="11"/>
      <c r="K17" t="str">
        <f>IF(OR($K$16="Institut for Videnskabsstudier",$K$16="Department of Science Studies"),"IVS","")</f>
        <v/>
      </c>
    </row>
    <row r="18" spans="1:14" ht="15" customHeight="1" x14ac:dyDescent="0.2">
      <c r="K18" t="str">
        <f>IF(OR($K$16="Datalogisk Institut",$K$16="Department of Computer Science"),"DI",IF(OR($K$16="Institut for Matematiske Fag",$K$16="Department of Mathematical Sciences",$K$16="QGM",$K$16="Niels Bohr"),"MI",""))</f>
        <v/>
      </c>
    </row>
    <row r="19" spans="1:14" ht="15" customHeight="1" x14ac:dyDescent="0.2">
      <c r="A19" s="11"/>
      <c r="K19" t="str">
        <f>IF(AND(OR(M29="Yes",M29="Ja"),Beregninger!K18="MI"),"PHDs","")</f>
        <v/>
      </c>
    </row>
    <row r="20" spans="1:14" ht="15" customHeight="1" x14ac:dyDescent="0.2">
      <c r="A20" s="11"/>
      <c r="K20" t="str">
        <f>IF(AFDELING="QGM","QGM",IF(AFDELING="Niels Bohr","Niels Bohr",""))</f>
        <v/>
      </c>
      <c r="L20" s="3" t="s">
        <v>166</v>
      </c>
      <c r="M20" s="3" t="str">
        <f>IF(LANGUAGE="English","Input error","Fejl i indtastning")</f>
        <v>Input error</v>
      </c>
    </row>
    <row r="26" spans="1:14" ht="15" customHeight="1" x14ac:dyDescent="0.2">
      <c r="M26" s="3" t="str">
        <f>IF(LANGUAGE="English","PHDe","PHD")</f>
        <v>PHDe</v>
      </c>
    </row>
    <row r="27" spans="1:14" ht="15" customHeight="1" x14ac:dyDescent="0.2">
      <c r="J27" s="3" t="s">
        <v>159</v>
      </c>
      <c r="K27">
        <f>IF($K$17="IVS",3,IF($K$19="PHDs",4,5))</f>
        <v>5</v>
      </c>
      <c r="M27" s="3" t="s">
        <v>163</v>
      </c>
      <c r="N27" s="3" t="s">
        <v>164</v>
      </c>
    </row>
    <row r="28" spans="1:14" ht="15" customHeight="1" x14ac:dyDescent="0.2">
      <c r="J28" s="3" t="s">
        <v>160</v>
      </c>
      <c r="K28">
        <f>IF($K$17="IVS",2,IF($K$19="PHDs",3,4))</f>
        <v>4</v>
      </c>
      <c r="M28" s="3" t="s">
        <v>162</v>
      </c>
      <c r="N28" t="s">
        <v>165</v>
      </c>
    </row>
    <row r="29" spans="1:14" ht="15" customHeight="1" x14ac:dyDescent="0.2">
      <c r="M29">
        <f>'Rejseafregning '!$J$36</f>
        <v>0</v>
      </c>
    </row>
    <row r="32" spans="1:14" ht="15" customHeight="1" x14ac:dyDescent="0.2">
      <c r="C32" s="54" t="s">
        <v>168</v>
      </c>
      <c r="H32" s="3" t="s">
        <v>173</v>
      </c>
      <c r="L32" s="126" t="s">
        <v>241</v>
      </c>
    </row>
    <row r="33" spans="3:12" ht="15" customHeight="1" x14ac:dyDescent="0.2">
      <c r="C33" s="3" t="s">
        <v>169</v>
      </c>
      <c r="F33" s="3" t="s">
        <v>171</v>
      </c>
      <c r="H33" t="str">
        <f>IF(OR(Type="Rejseafregning",Type="Travel statement"),"TRUE","FALSE")</f>
        <v>TRUE</v>
      </c>
      <c r="L33" t="str">
        <f>IF(LANGUAGE="English"," Travel Statement", "Rejseafregning")</f>
        <v xml:space="preserve"> Travel Statement</v>
      </c>
    </row>
    <row r="34" spans="3:12" ht="15" customHeight="1" x14ac:dyDescent="0.2">
      <c r="C34" s="3" t="s">
        <v>170</v>
      </c>
      <c r="F34" s="3" t="s">
        <v>172</v>
      </c>
    </row>
    <row r="41" spans="3:12" ht="15" customHeight="1" x14ac:dyDescent="0.2">
      <c r="C41" s="3" t="s">
        <v>230</v>
      </c>
      <c r="E41" s="3" t="s">
        <v>153</v>
      </c>
      <c r="F41" s="3" t="s">
        <v>231</v>
      </c>
    </row>
    <row r="42" spans="3:12" ht="15" customHeight="1" x14ac:dyDescent="0.2">
      <c r="E42" s="3" t="s">
        <v>232</v>
      </c>
      <c r="F42" s="3" t="s">
        <v>234</v>
      </c>
    </row>
    <row r="48" spans="3:12" ht="15" customHeight="1" x14ac:dyDescent="0.2">
      <c r="C48" s="11" t="s">
        <v>229</v>
      </c>
      <c r="I48" s="54"/>
    </row>
    <row r="49" spans="3:13" ht="15" customHeight="1" x14ac:dyDescent="0.2">
      <c r="C49" s="11" t="str">
        <f>IF(ISERROR(ROUND(F,2)),"",ROUND(F,2))</f>
        <v/>
      </c>
      <c r="D49" s="133">
        <v>2021</v>
      </c>
      <c r="E49" s="133">
        <v>2020</v>
      </c>
      <c r="G49">
        <v>2014</v>
      </c>
      <c r="I49" s="3"/>
      <c r="M49" s="3"/>
    </row>
    <row r="50" spans="3:13" ht="15" customHeight="1" x14ac:dyDescent="0.2">
      <c r="C50" s="76" t="s">
        <v>49</v>
      </c>
      <c r="D50" s="78">
        <v>533</v>
      </c>
      <c r="E50" s="78">
        <v>521</v>
      </c>
      <c r="G50" s="78">
        <v>464</v>
      </c>
      <c r="I50" s="3"/>
    </row>
    <row r="51" spans="3:13" ht="15" customHeight="1" x14ac:dyDescent="0.2">
      <c r="C51" s="76" t="s">
        <v>78</v>
      </c>
      <c r="D51" s="78">
        <v>533</v>
      </c>
      <c r="E51" s="78">
        <v>521</v>
      </c>
      <c r="G51" s="78">
        <v>464</v>
      </c>
      <c r="I51" s="3"/>
      <c r="M51" s="3"/>
    </row>
    <row r="52" spans="3:13" ht="15" customHeight="1" x14ac:dyDescent="0.2">
      <c r="C52" s="76" t="s">
        <v>59</v>
      </c>
      <c r="D52" s="134">
        <v>404</v>
      </c>
      <c r="E52" s="134">
        <v>395</v>
      </c>
      <c r="G52" s="78">
        <v>351</v>
      </c>
      <c r="I52" s="3"/>
    </row>
    <row r="53" spans="3:13" ht="15" customHeight="1" x14ac:dyDescent="0.2">
      <c r="C53" s="76" t="s">
        <v>9</v>
      </c>
      <c r="D53" s="78">
        <v>533</v>
      </c>
      <c r="E53" s="78">
        <v>521</v>
      </c>
      <c r="G53" s="78">
        <v>464</v>
      </c>
      <c r="I53" s="3"/>
    </row>
    <row r="54" spans="3:13" ht="15" customHeight="1" x14ac:dyDescent="0.2">
      <c r="C54" s="83" t="s">
        <v>60</v>
      </c>
      <c r="D54" s="135">
        <v>223</v>
      </c>
      <c r="E54" s="135">
        <v>218</v>
      </c>
      <c r="G54" s="85">
        <v>193</v>
      </c>
      <c r="I54" s="3"/>
    </row>
    <row r="55" spans="3:13" ht="15" customHeight="1" x14ac:dyDescent="0.2">
      <c r="C55" s="76" t="s">
        <v>50</v>
      </c>
      <c r="D55" s="134">
        <v>305</v>
      </c>
      <c r="E55" s="134">
        <v>298</v>
      </c>
      <c r="G55" s="78">
        <v>265</v>
      </c>
      <c r="I55" s="3"/>
    </row>
    <row r="56" spans="3:13" ht="15" customHeight="1" x14ac:dyDescent="0.2">
      <c r="C56" s="76" t="s">
        <v>51</v>
      </c>
      <c r="D56" s="78">
        <v>533</v>
      </c>
      <c r="E56" s="78">
        <v>521</v>
      </c>
      <c r="G56" s="78">
        <v>464</v>
      </c>
      <c r="I56" s="3"/>
    </row>
    <row r="57" spans="3:13" ht="15" customHeight="1" x14ac:dyDescent="0.2">
      <c r="C57" s="76" t="s">
        <v>10</v>
      </c>
      <c r="D57" s="134">
        <v>396</v>
      </c>
      <c r="E57" s="134">
        <v>387</v>
      </c>
      <c r="G57" s="78">
        <v>344</v>
      </c>
      <c r="I57" s="3"/>
    </row>
    <row r="58" spans="3:13" ht="15" customHeight="1" x14ac:dyDescent="0.2">
      <c r="C58" s="76" t="s">
        <v>52</v>
      </c>
      <c r="D58" s="78">
        <v>533</v>
      </c>
      <c r="E58" s="78">
        <v>521</v>
      </c>
      <c r="G58" s="78">
        <v>464</v>
      </c>
      <c r="I58" s="5"/>
    </row>
    <row r="59" spans="3:13" ht="15" customHeight="1" x14ac:dyDescent="0.2">
      <c r="C59" s="83" t="s">
        <v>53</v>
      </c>
      <c r="D59" s="85">
        <v>533</v>
      </c>
      <c r="E59" s="85">
        <v>521</v>
      </c>
      <c r="G59" s="85">
        <v>464</v>
      </c>
      <c r="I59" s="3"/>
    </row>
    <row r="60" spans="3:13" ht="15" customHeight="1" x14ac:dyDescent="0.2">
      <c r="C60" s="76" t="s">
        <v>54</v>
      </c>
      <c r="D60" s="134">
        <v>404</v>
      </c>
      <c r="E60" s="134">
        <v>395</v>
      </c>
      <c r="G60" s="78">
        <v>351</v>
      </c>
      <c r="I60" s="3"/>
      <c r="M60" s="3"/>
    </row>
    <row r="61" spans="3:13" ht="15" customHeight="1" x14ac:dyDescent="0.2">
      <c r="C61" s="76" t="s">
        <v>55</v>
      </c>
      <c r="D61" s="134">
        <v>427</v>
      </c>
      <c r="E61" s="134">
        <v>417</v>
      </c>
      <c r="G61" s="78">
        <v>370</v>
      </c>
      <c r="I61" s="3"/>
    </row>
    <row r="62" spans="3:13" ht="15" customHeight="1" x14ac:dyDescent="0.2">
      <c r="C62" s="76" t="s">
        <v>11</v>
      </c>
      <c r="D62" s="78">
        <v>533</v>
      </c>
      <c r="E62" s="78">
        <v>521</v>
      </c>
      <c r="G62" s="78">
        <v>464</v>
      </c>
      <c r="I62" s="3"/>
      <c r="M62" s="3"/>
    </row>
    <row r="63" spans="3:13" ht="15" customHeight="1" x14ac:dyDescent="0.2">
      <c r="C63" s="76" t="s">
        <v>82</v>
      </c>
      <c r="D63" s="134">
        <v>457</v>
      </c>
      <c r="E63" s="134">
        <v>446</v>
      </c>
      <c r="G63" s="78">
        <v>398</v>
      </c>
      <c r="I63" s="3"/>
      <c r="M63" s="3"/>
    </row>
    <row r="64" spans="3:13" ht="15" customHeight="1" x14ac:dyDescent="0.2">
      <c r="C64" s="83" t="s">
        <v>101</v>
      </c>
      <c r="D64" s="135">
        <v>408</v>
      </c>
      <c r="E64" s="135">
        <v>398</v>
      </c>
      <c r="G64" s="85">
        <v>354</v>
      </c>
      <c r="I64" s="3"/>
      <c r="M64" s="3"/>
    </row>
    <row r="65" spans="3:13" ht="15" customHeight="1" x14ac:dyDescent="0.2">
      <c r="C65" s="76" t="s">
        <v>40</v>
      </c>
      <c r="D65" s="78">
        <v>533</v>
      </c>
      <c r="E65" s="78">
        <v>521</v>
      </c>
      <c r="G65" s="78">
        <v>464</v>
      </c>
      <c r="I65" s="3"/>
      <c r="M65" s="3"/>
    </row>
    <row r="66" spans="3:13" ht="15" customHeight="1" x14ac:dyDescent="0.2">
      <c r="C66" s="76" t="s">
        <v>12</v>
      </c>
      <c r="D66" s="78">
        <v>533</v>
      </c>
      <c r="E66" s="78">
        <v>521</v>
      </c>
      <c r="G66" s="78">
        <v>464</v>
      </c>
    </row>
    <row r="67" spans="3:13" ht="15" customHeight="1" x14ac:dyDescent="0.2">
      <c r="C67" s="76" t="s">
        <v>61</v>
      </c>
      <c r="D67" s="78">
        <v>533</v>
      </c>
      <c r="E67" s="78">
        <v>521</v>
      </c>
      <c r="G67" s="78">
        <v>464</v>
      </c>
    </row>
    <row r="68" spans="3:13" ht="15" customHeight="1" x14ac:dyDescent="0.2">
      <c r="C68" s="76" t="s">
        <v>13</v>
      </c>
      <c r="D68" s="78">
        <v>533</v>
      </c>
      <c r="E68" s="78">
        <v>521</v>
      </c>
      <c r="G68" s="78">
        <v>464</v>
      </c>
    </row>
    <row r="69" spans="3:13" ht="15" customHeight="1" x14ac:dyDescent="0.2">
      <c r="C69" s="83" t="s">
        <v>140</v>
      </c>
      <c r="D69" s="85">
        <v>533</v>
      </c>
      <c r="E69" s="85">
        <v>521</v>
      </c>
      <c r="G69" s="85">
        <v>464</v>
      </c>
    </row>
    <row r="70" spans="3:13" ht="15" customHeight="1" x14ac:dyDescent="0.2">
      <c r="C70" s="76" t="s">
        <v>14</v>
      </c>
      <c r="D70" s="78">
        <v>533</v>
      </c>
      <c r="E70" s="78">
        <v>521</v>
      </c>
      <c r="G70" s="78">
        <v>464</v>
      </c>
    </row>
    <row r="71" spans="3:13" ht="15" customHeight="1" x14ac:dyDescent="0.2">
      <c r="C71" s="76" t="s">
        <v>15</v>
      </c>
      <c r="D71" s="78">
        <v>533</v>
      </c>
      <c r="E71" s="78">
        <v>521</v>
      </c>
      <c r="G71" s="78">
        <v>464</v>
      </c>
    </row>
    <row r="72" spans="3:13" ht="15" customHeight="1" x14ac:dyDescent="0.2">
      <c r="C72" s="76" t="s">
        <v>16</v>
      </c>
      <c r="D72" s="78">
        <v>533</v>
      </c>
      <c r="E72" s="78">
        <v>521</v>
      </c>
      <c r="G72" s="78">
        <v>464</v>
      </c>
    </row>
    <row r="73" spans="3:13" ht="15" customHeight="1" x14ac:dyDescent="0.2">
      <c r="C73" s="76" t="s">
        <v>17</v>
      </c>
      <c r="D73" s="78">
        <v>533</v>
      </c>
      <c r="E73" s="78">
        <v>521</v>
      </c>
      <c r="G73" s="78">
        <v>464</v>
      </c>
    </row>
    <row r="74" spans="3:13" ht="15" customHeight="1" x14ac:dyDescent="0.2">
      <c r="C74" s="83" t="s">
        <v>79</v>
      </c>
      <c r="D74" s="78">
        <v>533</v>
      </c>
      <c r="E74" s="78">
        <v>521</v>
      </c>
      <c r="G74" s="78">
        <v>464</v>
      </c>
    </row>
    <row r="75" spans="3:13" ht="15" customHeight="1" x14ac:dyDescent="0.2">
      <c r="C75" s="76" t="s">
        <v>62</v>
      </c>
      <c r="D75" s="136">
        <v>294</v>
      </c>
      <c r="E75" s="136">
        <v>287</v>
      </c>
      <c r="G75" s="115">
        <v>255</v>
      </c>
    </row>
    <row r="76" spans="3:13" ht="15" customHeight="1" x14ac:dyDescent="0.2">
      <c r="C76" s="76" t="s">
        <v>63</v>
      </c>
      <c r="D76" s="78">
        <v>533</v>
      </c>
      <c r="E76" s="78">
        <v>521</v>
      </c>
      <c r="G76" s="78">
        <v>464</v>
      </c>
    </row>
    <row r="77" spans="3:13" ht="15" customHeight="1" x14ac:dyDescent="0.2">
      <c r="C77" s="76" t="s">
        <v>64</v>
      </c>
      <c r="D77" s="134">
        <v>305</v>
      </c>
      <c r="E77" s="134">
        <v>298</v>
      </c>
      <c r="G77" s="78">
        <v>265</v>
      </c>
    </row>
    <row r="78" spans="3:13" ht="15" customHeight="1" x14ac:dyDescent="0.2">
      <c r="C78" s="76" t="s">
        <v>18</v>
      </c>
      <c r="D78" s="78">
        <v>533</v>
      </c>
      <c r="E78" s="78">
        <v>521</v>
      </c>
      <c r="G78" s="78">
        <v>464</v>
      </c>
    </row>
    <row r="79" spans="3:13" ht="15" customHeight="1" x14ac:dyDescent="0.2">
      <c r="C79" s="83" t="s">
        <v>19</v>
      </c>
      <c r="D79" s="78">
        <v>533</v>
      </c>
      <c r="E79" s="78">
        <v>521</v>
      </c>
      <c r="G79" s="78">
        <v>464</v>
      </c>
    </row>
    <row r="80" spans="3:13" ht="15" customHeight="1" x14ac:dyDescent="0.2">
      <c r="C80" s="76" t="s">
        <v>65</v>
      </c>
      <c r="D80" s="115">
        <v>533</v>
      </c>
      <c r="E80" s="115">
        <v>521</v>
      </c>
      <c r="G80" s="115">
        <v>464</v>
      </c>
    </row>
    <row r="81" spans="3:7" ht="15" customHeight="1" x14ac:dyDescent="0.2">
      <c r="C81" s="76" t="s">
        <v>20</v>
      </c>
      <c r="D81" s="78">
        <v>533</v>
      </c>
      <c r="E81" s="78">
        <v>521</v>
      </c>
      <c r="G81" s="78">
        <v>464</v>
      </c>
    </row>
    <row r="82" spans="3:7" ht="15" customHeight="1" x14ac:dyDescent="0.2">
      <c r="C82" s="76" t="s">
        <v>66</v>
      </c>
      <c r="D82" s="78">
        <v>533</v>
      </c>
      <c r="E82" s="78">
        <v>521</v>
      </c>
      <c r="G82" s="78">
        <v>464</v>
      </c>
    </row>
    <row r="83" spans="3:7" ht="15" customHeight="1" x14ac:dyDescent="0.2">
      <c r="C83" s="76" t="s">
        <v>67</v>
      </c>
      <c r="D83" s="78">
        <v>533</v>
      </c>
      <c r="E83" s="78">
        <v>521</v>
      </c>
      <c r="G83" s="78">
        <v>464</v>
      </c>
    </row>
    <row r="84" spans="3:7" ht="15" customHeight="1" x14ac:dyDescent="0.2">
      <c r="C84" s="83" t="s">
        <v>41</v>
      </c>
      <c r="D84" s="85">
        <v>533</v>
      </c>
      <c r="E84" s="85">
        <v>521</v>
      </c>
      <c r="G84" s="78">
        <v>464</v>
      </c>
    </row>
    <row r="85" spans="3:7" ht="15" customHeight="1" x14ac:dyDescent="0.2">
      <c r="C85" s="76" t="s">
        <v>68</v>
      </c>
      <c r="D85" s="78">
        <v>533</v>
      </c>
      <c r="E85" s="78">
        <v>521</v>
      </c>
      <c r="G85" s="115">
        <v>464</v>
      </c>
    </row>
    <row r="86" spans="3:7" ht="15" customHeight="1" x14ac:dyDescent="0.2">
      <c r="C86" s="76" t="s">
        <v>69</v>
      </c>
      <c r="D86" s="78">
        <v>533</v>
      </c>
      <c r="E86" s="78">
        <v>521</v>
      </c>
      <c r="G86" s="78">
        <v>464</v>
      </c>
    </row>
    <row r="87" spans="3:7" ht="15" customHeight="1" x14ac:dyDescent="0.2">
      <c r="C87" s="76" t="s">
        <v>21</v>
      </c>
      <c r="D87" s="78">
        <v>533</v>
      </c>
      <c r="E87" s="78">
        <v>521</v>
      </c>
      <c r="G87" s="78">
        <v>464</v>
      </c>
    </row>
    <row r="88" spans="3:7" ht="15" customHeight="1" x14ac:dyDescent="0.2">
      <c r="C88" s="76" t="s">
        <v>22</v>
      </c>
      <c r="D88" s="78">
        <v>533</v>
      </c>
      <c r="E88" s="78">
        <v>521</v>
      </c>
      <c r="G88" s="78">
        <v>464</v>
      </c>
    </row>
    <row r="89" spans="3:7" ht="15" customHeight="1" x14ac:dyDescent="0.2">
      <c r="C89" s="83" t="s">
        <v>23</v>
      </c>
      <c r="D89" s="78">
        <v>533</v>
      </c>
      <c r="E89" s="78">
        <v>521</v>
      </c>
      <c r="G89" s="78">
        <v>464</v>
      </c>
    </row>
    <row r="90" spans="3:7" ht="15" customHeight="1" x14ac:dyDescent="0.2">
      <c r="C90" s="76" t="s">
        <v>70</v>
      </c>
      <c r="D90" s="136">
        <v>299</v>
      </c>
      <c r="E90" s="136">
        <v>292</v>
      </c>
      <c r="G90" s="115">
        <v>260</v>
      </c>
    </row>
    <row r="91" spans="3:7" ht="15" customHeight="1" x14ac:dyDescent="0.2">
      <c r="C91" s="76" t="s">
        <v>42</v>
      </c>
      <c r="D91" s="78">
        <v>533</v>
      </c>
      <c r="E91" s="78">
        <v>521</v>
      </c>
      <c r="G91" s="78">
        <v>464</v>
      </c>
    </row>
    <row r="92" spans="3:7" ht="15" customHeight="1" x14ac:dyDescent="0.2">
      <c r="C92" s="76" t="s">
        <v>56</v>
      </c>
      <c r="D92" s="78">
        <v>533</v>
      </c>
      <c r="E92" s="78">
        <v>521</v>
      </c>
      <c r="G92" s="78">
        <v>464</v>
      </c>
    </row>
    <row r="93" spans="3:7" ht="15" customHeight="1" x14ac:dyDescent="0.2">
      <c r="C93" s="76" t="s">
        <v>43</v>
      </c>
      <c r="D93" s="134">
        <v>355</v>
      </c>
      <c r="E93" s="134">
        <v>347</v>
      </c>
      <c r="G93" s="78">
        <v>308</v>
      </c>
    </row>
    <row r="94" spans="3:7" ht="15" customHeight="1" x14ac:dyDescent="0.2">
      <c r="C94" s="83" t="s">
        <v>71</v>
      </c>
      <c r="D94" s="137">
        <v>248</v>
      </c>
      <c r="E94" s="137">
        <v>242</v>
      </c>
      <c r="G94" s="78">
        <v>215</v>
      </c>
    </row>
    <row r="95" spans="3:7" ht="15" customHeight="1" x14ac:dyDescent="0.2">
      <c r="C95" s="76" t="s">
        <v>80</v>
      </c>
      <c r="D95" s="78">
        <v>533</v>
      </c>
      <c r="E95" s="78">
        <v>521</v>
      </c>
      <c r="G95" s="115">
        <v>464</v>
      </c>
    </row>
    <row r="96" spans="3:7" ht="15" customHeight="1" x14ac:dyDescent="0.2">
      <c r="C96" s="76" t="s">
        <v>24</v>
      </c>
      <c r="D96" s="78">
        <v>533</v>
      </c>
      <c r="E96" s="78">
        <v>521</v>
      </c>
      <c r="G96" s="78">
        <v>464</v>
      </c>
    </row>
    <row r="97" spans="3:7" ht="15" customHeight="1" x14ac:dyDescent="0.2">
      <c r="C97" s="76" t="s">
        <v>72</v>
      </c>
      <c r="D97" s="78">
        <v>533</v>
      </c>
      <c r="E97" s="78">
        <v>521</v>
      </c>
      <c r="G97" s="78">
        <v>464</v>
      </c>
    </row>
    <row r="98" spans="3:7" ht="15" customHeight="1" x14ac:dyDescent="0.2">
      <c r="C98" s="76" t="s">
        <v>73</v>
      </c>
      <c r="D98" s="134">
        <v>252</v>
      </c>
      <c r="E98" s="134">
        <v>246</v>
      </c>
      <c r="G98" s="78">
        <v>218</v>
      </c>
    </row>
    <row r="99" spans="3:7" ht="15" customHeight="1" x14ac:dyDescent="0.2">
      <c r="C99" s="83" t="s">
        <v>25</v>
      </c>
      <c r="D99" s="85">
        <v>533</v>
      </c>
      <c r="E99" s="85">
        <v>521</v>
      </c>
      <c r="G99" s="78">
        <v>464</v>
      </c>
    </row>
    <row r="100" spans="3:7" ht="15" customHeight="1" x14ac:dyDescent="0.2">
      <c r="C100" s="76" t="s">
        <v>26</v>
      </c>
      <c r="D100" s="78">
        <v>533</v>
      </c>
      <c r="E100" s="78">
        <v>521</v>
      </c>
      <c r="G100" s="115">
        <v>464</v>
      </c>
    </row>
    <row r="101" spans="3:7" ht="15" customHeight="1" x14ac:dyDescent="0.2">
      <c r="C101" s="76" t="s">
        <v>74</v>
      </c>
      <c r="D101" s="78">
        <v>533</v>
      </c>
      <c r="E101" s="78">
        <v>521</v>
      </c>
      <c r="G101" s="78">
        <v>464</v>
      </c>
    </row>
    <row r="102" spans="3:7" ht="15" customHeight="1" x14ac:dyDescent="0.2">
      <c r="C102" s="76" t="s">
        <v>27</v>
      </c>
      <c r="D102" s="78">
        <v>533</v>
      </c>
      <c r="E102" s="78">
        <v>521</v>
      </c>
      <c r="G102" s="78">
        <v>464</v>
      </c>
    </row>
    <row r="103" spans="3:7" ht="15" customHeight="1" x14ac:dyDescent="0.2">
      <c r="C103" s="76" t="s">
        <v>28</v>
      </c>
      <c r="D103" s="78">
        <v>533</v>
      </c>
      <c r="E103" s="78">
        <v>521</v>
      </c>
      <c r="G103" s="78">
        <v>464</v>
      </c>
    </row>
    <row r="104" spans="3:7" ht="15" customHeight="1" x14ac:dyDescent="0.2">
      <c r="C104" s="83" t="s">
        <v>128</v>
      </c>
      <c r="D104" s="85">
        <v>533</v>
      </c>
      <c r="E104" s="85">
        <v>521</v>
      </c>
      <c r="G104" s="85">
        <v>464</v>
      </c>
    </row>
    <row r="105" spans="3:7" ht="15" customHeight="1" x14ac:dyDescent="0.2">
      <c r="C105" s="76" t="s">
        <v>29</v>
      </c>
      <c r="D105" s="78">
        <v>533</v>
      </c>
      <c r="E105" s="78">
        <v>521</v>
      </c>
      <c r="G105" s="78">
        <v>464</v>
      </c>
    </row>
    <row r="106" spans="3:7" ht="15" customHeight="1" x14ac:dyDescent="0.2">
      <c r="C106" s="76" t="s">
        <v>75</v>
      </c>
      <c r="D106" s="78">
        <v>533</v>
      </c>
      <c r="E106" s="78">
        <v>521</v>
      </c>
      <c r="G106" s="78">
        <v>464</v>
      </c>
    </row>
    <row r="107" spans="3:7" ht="15" customHeight="1" x14ac:dyDescent="0.2">
      <c r="C107" s="76" t="s">
        <v>30</v>
      </c>
      <c r="D107" s="134">
        <v>378</v>
      </c>
      <c r="E107" s="134">
        <v>369</v>
      </c>
      <c r="G107" s="78">
        <v>328</v>
      </c>
    </row>
    <row r="108" spans="3:7" ht="15" customHeight="1" x14ac:dyDescent="0.2">
      <c r="C108" s="76" t="s">
        <v>31</v>
      </c>
      <c r="D108" s="78">
        <v>533</v>
      </c>
      <c r="E108" s="78">
        <v>521</v>
      </c>
      <c r="G108" s="78">
        <v>464</v>
      </c>
    </row>
    <row r="109" spans="3:7" ht="15" customHeight="1" x14ac:dyDescent="0.2">
      <c r="C109" s="83" t="s">
        <v>32</v>
      </c>
      <c r="D109" s="85">
        <v>533</v>
      </c>
      <c r="E109" s="85">
        <v>521</v>
      </c>
      <c r="G109" s="78">
        <v>464</v>
      </c>
    </row>
    <row r="110" spans="3:7" ht="15" customHeight="1" x14ac:dyDescent="0.2">
      <c r="C110" s="76" t="s">
        <v>33</v>
      </c>
      <c r="D110" s="78">
        <v>533</v>
      </c>
      <c r="E110" s="78">
        <v>521</v>
      </c>
      <c r="G110" s="115">
        <v>464</v>
      </c>
    </row>
    <row r="111" spans="3:7" ht="15" customHeight="1" x14ac:dyDescent="0.2">
      <c r="C111" s="76" t="s">
        <v>44</v>
      </c>
      <c r="D111" s="134">
        <v>294</v>
      </c>
      <c r="E111" s="134">
        <v>287</v>
      </c>
      <c r="G111" s="78">
        <v>255</v>
      </c>
    </row>
    <row r="112" spans="3:7" ht="15" customHeight="1" x14ac:dyDescent="0.2">
      <c r="C112" s="76" t="s">
        <v>117</v>
      </c>
      <c r="D112" s="78">
        <v>533</v>
      </c>
      <c r="E112" s="78">
        <v>521</v>
      </c>
      <c r="G112" s="78">
        <v>464</v>
      </c>
    </row>
    <row r="113" spans="3:7" ht="15" customHeight="1" x14ac:dyDescent="0.2">
      <c r="C113" s="76" t="s">
        <v>76</v>
      </c>
      <c r="D113" s="78">
        <v>533</v>
      </c>
      <c r="E113" s="78">
        <v>521</v>
      </c>
      <c r="G113" s="78">
        <v>464</v>
      </c>
    </row>
    <row r="114" spans="3:7" ht="15" customHeight="1" x14ac:dyDescent="0.2">
      <c r="C114" s="83" t="s">
        <v>45</v>
      </c>
      <c r="D114" s="78">
        <v>533</v>
      </c>
      <c r="E114" s="78">
        <v>521</v>
      </c>
      <c r="G114" s="78">
        <v>464</v>
      </c>
    </row>
    <row r="115" spans="3:7" ht="15" customHeight="1" x14ac:dyDescent="0.2">
      <c r="C115" s="76" t="s">
        <v>77</v>
      </c>
      <c r="D115" s="136">
        <v>365</v>
      </c>
      <c r="E115" s="136">
        <v>356</v>
      </c>
      <c r="G115" s="115">
        <v>317</v>
      </c>
    </row>
    <row r="116" spans="3:7" ht="15" customHeight="1" x14ac:dyDescent="0.2">
      <c r="C116" s="76" t="s">
        <v>34</v>
      </c>
      <c r="D116" s="78">
        <v>533</v>
      </c>
      <c r="E116" s="78">
        <v>521</v>
      </c>
      <c r="G116" s="78">
        <v>464</v>
      </c>
    </row>
    <row r="117" spans="3:7" ht="15" customHeight="1" x14ac:dyDescent="0.2">
      <c r="C117" s="76" t="s">
        <v>46</v>
      </c>
      <c r="D117" s="134">
        <v>421</v>
      </c>
      <c r="E117" s="134">
        <v>411</v>
      </c>
      <c r="G117" s="78">
        <v>364</v>
      </c>
    </row>
    <row r="118" spans="3:7" ht="15" customHeight="1" x14ac:dyDescent="0.2">
      <c r="C118" s="76" t="s">
        <v>35</v>
      </c>
      <c r="D118" s="78">
        <v>533</v>
      </c>
      <c r="E118" s="78">
        <v>521</v>
      </c>
      <c r="G118" s="78">
        <v>464</v>
      </c>
    </row>
    <row r="119" spans="3:7" ht="15" customHeight="1" x14ac:dyDescent="0.2">
      <c r="C119" s="83" t="s">
        <v>36</v>
      </c>
      <c r="D119" s="85">
        <v>533</v>
      </c>
      <c r="E119" s="85">
        <v>521</v>
      </c>
      <c r="G119" s="78">
        <v>464</v>
      </c>
    </row>
    <row r="120" spans="3:7" ht="15" customHeight="1" x14ac:dyDescent="0.2">
      <c r="C120" s="76" t="s">
        <v>37</v>
      </c>
      <c r="D120" s="78">
        <v>533</v>
      </c>
      <c r="E120" s="78">
        <v>521</v>
      </c>
      <c r="G120" s="115">
        <v>464</v>
      </c>
    </row>
    <row r="121" spans="3:7" ht="15" customHeight="1" x14ac:dyDescent="0.2">
      <c r="C121" s="76" t="s">
        <v>38</v>
      </c>
      <c r="D121" s="78">
        <v>533</v>
      </c>
      <c r="E121" s="78">
        <v>521</v>
      </c>
      <c r="G121" s="78">
        <v>464</v>
      </c>
    </row>
    <row r="122" spans="3:7" ht="15" customHeight="1" x14ac:dyDescent="0.2">
      <c r="C122" s="76" t="s">
        <v>57</v>
      </c>
      <c r="D122" s="78">
        <v>533</v>
      </c>
      <c r="E122" s="78">
        <v>521</v>
      </c>
      <c r="G122" s="78">
        <v>464</v>
      </c>
    </row>
    <row r="123" spans="3:7" ht="15" customHeight="1" x14ac:dyDescent="0.2">
      <c r="C123" s="76" t="s">
        <v>58</v>
      </c>
      <c r="D123" s="78">
        <v>533</v>
      </c>
      <c r="E123" s="78">
        <v>521</v>
      </c>
      <c r="G123" s="78">
        <v>464</v>
      </c>
    </row>
    <row r="124" spans="3:7" ht="15" customHeight="1" x14ac:dyDescent="0.2">
      <c r="C124" s="83" t="s">
        <v>47</v>
      </c>
      <c r="D124" s="134">
        <v>404</v>
      </c>
      <c r="E124" s="134">
        <v>395</v>
      </c>
      <c r="G124" s="78">
        <v>351</v>
      </c>
    </row>
    <row r="125" spans="3:7" ht="15" customHeight="1" x14ac:dyDescent="0.2">
      <c r="C125" s="76" t="s">
        <v>48</v>
      </c>
      <c r="D125" s="136">
        <v>305</v>
      </c>
      <c r="E125" s="136">
        <v>298</v>
      </c>
      <c r="G125" s="115">
        <v>265</v>
      </c>
    </row>
    <row r="126" spans="3:7" ht="15" customHeight="1" x14ac:dyDescent="0.2">
      <c r="C126" s="76" t="s">
        <v>39</v>
      </c>
      <c r="D126" s="78">
        <v>533</v>
      </c>
      <c r="E126" s="78">
        <v>521</v>
      </c>
      <c r="G126" s="78">
        <v>464</v>
      </c>
    </row>
    <row r="127" spans="3:7" ht="15" customHeight="1" x14ac:dyDescent="0.2">
      <c r="C127" s="138" t="s">
        <v>144</v>
      </c>
      <c r="D127" s="139">
        <v>533</v>
      </c>
      <c r="E127" s="139">
        <v>521</v>
      </c>
      <c r="G127" s="132">
        <v>464</v>
      </c>
    </row>
  </sheetData>
  <phoneticPr fontId="0" type="noConversion"/>
  <pageMargins left="0.7" right="0.7" top="0.75" bottom="0.75" header="0.3" footer="0.3"/>
  <pageSetup paperSize="9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Ark4">
    <pageSetUpPr fitToPage="1"/>
  </sheetPr>
  <dimension ref="A1:M165"/>
  <sheetViews>
    <sheetView zoomScale="80" zoomScaleNormal="80" workbookViewId="0">
      <pane ySplit="8" topLeftCell="A9" activePane="bottomLeft" state="frozen"/>
      <selection activeCell="AG17" sqref="AG17:AK17"/>
      <selection pane="bottomLeft" activeCell="H28" sqref="H28"/>
    </sheetView>
  </sheetViews>
  <sheetFormatPr defaultColWidth="9.25" defaultRowHeight="10.199999999999999" x14ac:dyDescent="0.2"/>
  <cols>
    <col min="1" max="1" width="2.375" style="62" customWidth="1"/>
    <col min="2" max="2" width="30.25" style="62" bestFit="1" customWidth="1"/>
    <col min="3" max="3" width="30.25" style="62" customWidth="1"/>
    <col min="4" max="5" width="16.375" style="62" customWidth="1"/>
    <col min="6" max="6" width="9.25" style="62"/>
    <col min="7" max="7" width="18.625" style="62" customWidth="1"/>
    <col min="8" max="8" width="13.25" style="62" customWidth="1"/>
    <col min="9" max="9" width="12.75" style="62" customWidth="1"/>
    <col min="10" max="10" width="13.125" style="62" bestFit="1" customWidth="1"/>
    <col min="11" max="16384" width="9.25" style="62"/>
  </cols>
  <sheetData>
    <row r="1" spans="1:13" ht="16.2" x14ac:dyDescent="0.2">
      <c r="A1" s="60"/>
      <c r="B1" s="322" t="s">
        <v>7</v>
      </c>
      <c r="C1" s="322"/>
      <c r="D1" s="322"/>
      <c r="E1" s="147"/>
      <c r="F1" s="61"/>
      <c r="G1" s="61"/>
      <c r="H1" s="61"/>
      <c r="I1" s="61"/>
      <c r="J1" s="61"/>
      <c r="K1" s="61"/>
      <c r="L1" s="61"/>
      <c r="M1" s="61"/>
    </row>
    <row r="2" spans="1:13" ht="16.2" x14ac:dyDescent="0.2">
      <c r="B2" s="322"/>
      <c r="C2" s="322"/>
      <c r="D2" s="322"/>
      <c r="E2" s="147"/>
      <c r="F2" s="61"/>
      <c r="G2" s="61"/>
      <c r="H2" s="61"/>
      <c r="I2" s="61"/>
      <c r="J2" s="61"/>
      <c r="K2" s="61"/>
      <c r="L2" s="61"/>
      <c r="M2" s="61"/>
    </row>
    <row r="3" spans="1:13" ht="16.2" x14ac:dyDescent="0.2">
      <c r="B3" s="274" t="s">
        <v>0</v>
      </c>
      <c r="C3" s="274"/>
      <c r="D3" s="274"/>
      <c r="E3" s="63"/>
      <c r="F3" s="64"/>
      <c r="G3" s="64"/>
      <c r="H3" s="64"/>
      <c r="I3" s="64"/>
      <c r="J3" s="64"/>
      <c r="K3" s="64"/>
      <c r="L3" s="64"/>
      <c r="M3" s="64"/>
    </row>
    <row r="4" spans="1:13" ht="9.75" customHeight="1" x14ac:dyDescent="0.2">
      <c r="B4" s="63"/>
      <c r="C4" s="63"/>
      <c r="D4" s="63"/>
      <c r="E4" s="63"/>
      <c r="F4" s="63"/>
      <c r="G4" s="63"/>
      <c r="H4" s="63"/>
      <c r="I4" s="63"/>
      <c r="J4" s="63"/>
      <c r="K4" s="63"/>
      <c r="L4" s="63"/>
      <c r="M4" s="63"/>
    </row>
    <row r="5" spans="1:13" ht="13.8" x14ac:dyDescent="0.25">
      <c r="B5" s="445" t="s">
        <v>147</v>
      </c>
      <c r="C5" s="445"/>
      <c r="D5" s="445"/>
      <c r="E5" s="65"/>
      <c r="G5" s="146" t="str">
        <f>IF(AH15="","",IF(AH15=2019,Satser!H12,Satser!I12))</f>
        <v/>
      </c>
    </row>
    <row r="6" spans="1:13" ht="13.8" x14ac:dyDescent="0.25">
      <c r="B6" s="65"/>
      <c r="C6" s="65"/>
      <c r="D6" s="65"/>
      <c r="E6" s="65"/>
    </row>
    <row r="7" spans="1:13" ht="15.75" customHeight="1" x14ac:dyDescent="0.25">
      <c r="A7" s="66"/>
      <c r="B7" s="441" t="s">
        <v>90</v>
      </c>
      <c r="C7" s="442"/>
      <c r="D7" s="443"/>
      <c r="E7" s="148"/>
      <c r="G7" s="444"/>
      <c r="H7" s="444"/>
      <c r="I7" s="444"/>
    </row>
    <row r="8" spans="1:13" ht="12.6" x14ac:dyDescent="0.2">
      <c r="A8" s="66"/>
      <c r="B8" s="67" t="s">
        <v>81</v>
      </c>
      <c r="C8" s="68" t="s">
        <v>146</v>
      </c>
      <c r="D8" s="69">
        <v>2024</v>
      </c>
      <c r="E8" s="74"/>
      <c r="G8" s="70"/>
      <c r="H8" s="71"/>
      <c r="I8" s="71"/>
    </row>
    <row r="9" spans="1:13" ht="12.6" x14ac:dyDescent="0.2">
      <c r="A9" s="66"/>
      <c r="B9" s="72"/>
      <c r="C9" s="73"/>
      <c r="D9" s="75"/>
      <c r="E9" s="74"/>
      <c r="G9" s="70"/>
      <c r="H9" s="71"/>
      <c r="I9" s="71"/>
    </row>
    <row r="10" spans="1:13" ht="13.8" x14ac:dyDescent="0.25">
      <c r="A10" s="66"/>
      <c r="B10" s="76" t="s">
        <v>49</v>
      </c>
      <c r="C10" s="77" t="s">
        <v>49</v>
      </c>
      <c r="D10" s="78">
        <f>IF('Rejseafregning '!$AG$15=Beregninger!G49,Beregninger!G50,Beregninger!E50)</f>
        <v>521</v>
      </c>
      <c r="E10" s="149"/>
      <c r="G10" s="441" t="s">
        <v>84</v>
      </c>
      <c r="H10" s="442"/>
      <c r="I10" s="443"/>
    </row>
    <row r="11" spans="1:13" ht="12.6" x14ac:dyDescent="0.2">
      <c r="A11" s="66"/>
      <c r="B11" s="76" t="s">
        <v>78</v>
      </c>
      <c r="C11" s="77" t="s">
        <v>91</v>
      </c>
      <c r="D11" s="78">
        <f>IF('Rejseafregning '!$AG$15=Beregninger!G50,Beregninger!G51,Beregninger!E51)</f>
        <v>521</v>
      </c>
      <c r="E11" s="149"/>
      <c r="G11" s="72" t="s">
        <v>81</v>
      </c>
      <c r="H11" s="74" t="s">
        <v>252</v>
      </c>
      <c r="I11" s="74" t="s">
        <v>252</v>
      </c>
      <c r="J11" s="74" t="s">
        <v>253</v>
      </c>
    </row>
    <row r="12" spans="1:13" ht="12.6" x14ac:dyDescent="0.2">
      <c r="A12" s="66"/>
      <c r="B12" s="76" t="s">
        <v>59</v>
      </c>
      <c r="C12" s="77" t="s">
        <v>59</v>
      </c>
      <c r="D12" s="78">
        <f>IF('Rejseafregning '!$AG$15=Beregninger!G51,Beregninger!G52,Beregninger!E52)</f>
        <v>395</v>
      </c>
      <c r="E12" s="149"/>
      <c r="G12" s="79" t="s">
        <v>82</v>
      </c>
      <c r="H12" s="80">
        <v>2.23</v>
      </c>
      <c r="I12" s="80">
        <v>2.23</v>
      </c>
      <c r="J12" s="80">
        <v>2.2799999999999998</v>
      </c>
    </row>
    <row r="13" spans="1:13" ht="12.6" x14ac:dyDescent="0.2">
      <c r="A13" s="66"/>
      <c r="B13" s="76" t="s">
        <v>9</v>
      </c>
      <c r="C13" s="77" t="s">
        <v>93</v>
      </c>
      <c r="D13" s="78">
        <f>IF('Rejseafregning '!$AG$15=Beregninger!G52,Beregninger!G53,Beregninger!E53)</f>
        <v>521</v>
      </c>
      <c r="E13" s="149"/>
      <c r="G13" s="81" t="s">
        <v>83</v>
      </c>
      <c r="H13" s="82">
        <v>2.23</v>
      </c>
      <c r="I13" s="82">
        <v>2.23</v>
      </c>
      <c r="J13" s="82">
        <v>2.2799999999999998</v>
      </c>
    </row>
    <row r="14" spans="1:13" ht="12.6" x14ac:dyDescent="0.2">
      <c r="A14" s="66"/>
      <c r="B14" s="83" t="s">
        <v>60</v>
      </c>
      <c r="C14" s="84" t="s">
        <v>60</v>
      </c>
      <c r="D14" s="85">
        <f>IF('Rejseafregning '!$AG$15=Beregninger!G53,Beregninger!G54,Beregninger!E54)</f>
        <v>218</v>
      </c>
      <c r="E14" s="149"/>
    </row>
    <row r="15" spans="1:13" ht="12.6" x14ac:dyDescent="0.2">
      <c r="A15" s="66"/>
      <c r="B15" s="76" t="s">
        <v>50</v>
      </c>
      <c r="C15" s="77" t="s">
        <v>50</v>
      </c>
      <c r="D15" s="78">
        <f>IF('Rejseafregning '!$AG$15=Beregninger!G54,Beregninger!G55,Beregninger!E55)</f>
        <v>298</v>
      </c>
      <c r="E15" s="149"/>
    </row>
    <row r="16" spans="1:13" ht="12.6" x14ac:dyDescent="0.2">
      <c r="A16" s="66"/>
      <c r="B16" s="76" t="s">
        <v>51</v>
      </c>
      <c r="C16" s="77" t="s">
        <v>94</v>
      </c>
      <c r="D16" s="78">
        <f>IF('Rejseafregning '!$AG$15=Beregninger!G55,Beregninger!G56,Beregninger!E56)</f>
        <v>521</v>
      </c>
      <c r="E16" s="149"/>
    </row>
    <row r="17" spans="1:10" ht="13.8" x14ac:dyDescent="0.25">
      <c r="A17" s="66"/>
      <c r="B17" s="76" t="s">
        <v>10</v>
      </c>
      <c r="C17" s="77" t="s">
        <v>95</v>
      </c>
      <c r="D17" s="78">
        <f>IF('Rejseafregning '!$AG$15=Beregninger!G56,Beregninger!G57,Beregninger!E57)</f>
        <v>387</v>
      </c>
      <c r="E17" s="149"/>
      <c r="G17" s="441" t="s">
        <v>88</v>
      </c>
      <c r="H17" s="442"/>
      <c r="I17" s="443"/>
    </row>
    <row r="18" spans="1:10" ht="12.6" x14ac:dyDescent="0.2">
      <c r="A18" s="66"/>
      <c r="B18" s="76" t="s">
        <v>52</v>
      </c>
      <c r="C18" s="77" t="s">
        <v>52</v>
      </c>
      <c r="D18" s="78">
        <f>IF('Rejseafregning '!$AG$15=Beregninger!G57,Beregninger!G58,Beregninger!E58)</f>
        <v>521</v>
      </c>
      <c r="E18" s="149"/>
      <c r="G18" s="72" t="s">
        <v>85</v>
      </c>
      <c r="H18" s="74" t="s">
        <v>252</v>
      </c>
      <c r="I18" s="74" t="s">
        <v>252</v>
      </c>
      <c r="J18" s="74" t="s">
        <v>253</v>
      </c>
    </row>
    <row r="19" spans="1:10" ht="12.6" x14ac:dyDescent="0.2">
      <c r="A19" s="66"/>
      <c r="B19" s="83" t="s">
        <v>53</v>
      </c>
      <c r="C19" s="84" t="s">
        <v>53</v>
      </c>
      <c r="D19" s="85">
        <f>IF('Rejseafregning '!$AG$15=Beregninger!G58,Beregninger!G59,Beregninger!E59)</f>
        <v>521</v>
      </c>
      <c r="E19" s="149"/>
      <c r="G19" s="79" t="s">
        <v>3</v>
      </c>
      <c r="H19" s="86">
        <v>0.15</v>
      </c>
      <c r="I19" s="87">
        <v>0.15</v>
      </c>
      <c r="J19" s="87">
        <v>0.15</v>
      </c>
    </row>
    <row r="20" spans="1:10" ht="12.6" x14ac:dyDescent="0.2">
      <c r="A20" s="66"/>
      <c r="B20" s="76" t="s">
        <v>54</v>
      </c>
      <c r="C20" s="77" t="s">
        <v>54</v>
      </c>
      <c r="D20" s="78">
        <f>IF('Rejseafregning '!$AG$15=Beregninger!G59,Beregninger!G60,Beregninger!E60)</f>
        <v>395</v>
      </c>
      <c r="E20" s="149"/>
      <c r="G20" s="76" t="s">
        <v>4</v>
      </c>
      <c r="H20" s="88">
        <v>0.3</v>
      </c>
      <c r="I20" s="89">
        <v>0.3</v>
      </c>
      <c r="J20" s="89">
        <v>0.3</v>
      </c>
    </row>
    <row r="21" spans="1:10" ht="12.6" x14ac:dyDescent="0.2">
      <c r="A21" s="66"/>
      <c r="B21" s="76" t="s">
        <v>55</v>
      </c>
      <c r="C21" s="77" t="s">
        <v>55</v>
      </c>
      <c r="D21" s="78">
        <f>IF('Rejseafregning '!$AG$15=Beregninger!G60,Beregninger!G61,Beregninger!E61)</f>
        <v>417</v>
      </c>
      <c r="E21" s="149"/>
      <c r="G21" s="81" t="s">
        <v>5</v>
      </c>
      <c r="H21" s="90">
        <v>0.3</v>
      </c>
      <c r="I21" s="91">
        <v>0.3</v>
      </c>
      <c r="J21" s="91">
        <v>0.3</v>
      </c>
    </row>
    <row r="22" spans="1:10" ht="12.6" x14ac:dyDescent="0.2">
      <c r="A22" s="66"/>
      <c r="B22" s="76" t="s">
        <v>11</v>
      </c>
      <c r="C22" s="77" t="s">
        <v>98</v>
      </c>
      <c r="D22" s="78">
        <f>IF('Rejseafregning '!$AG$15=Beregninger!G61,Beregninger!G62,Beregninger!E62)</f>
        <v>521</v>
      </c>
      <c r="E22" s="149"/>
    </row>
    <row r="23" spans="1:10" ht="12.6" x14ac:dyDescent="0.2">
      <c r="A23" s="66"/>
      <c r="B23" s="76" t="str">
        <f>IF(LANGUAGE="English","Denmark","Danmark")</f>
        <v>Denmark</v>
      </c>
      <c r="C23" s="76" t="str">
        <f>IF(LANGUAGE="English","Denmark","Danmark")</f>
        <v>Denmark</v>
      </c>
      <c r="D23" s="78">
        <f>IF('Rejseafregning '!$AG$15=Beregninger!G62,Beregninger!G63,Beregninger!E63)</f>
        <v>446</v>
      </c>
      <c r="E23" s="149"/>
    </row>
    <row r="24" spans="1:10" ht="12.6" x14ac:dyDescent="0.2">
      <c r="A24" s="66"/>
      <c r="B24" s="83" t="s">
        <v>101</v>
      </c>
      <c r="C24" s="84" t="s">
        <v>102</v>
      </c>
      <c r="D24" s="85">
        <f>IF('Rejseafregning '!$AG$15=Beregninger!G63,Beregninger!G64,Beregninger!E64)</f>
        <v>398</v>
      </c>
      <c r="E24" s="149"/>
    </row>
    <row r="25" spans="1:10" ht="13.8" x14ac:dyDescent="0.25">
      <c r="A25" s="66"/>
      <c r="B25" s="76" t="s">
        <v>40</v>
      </c>
      <c r="C25" s="77" t="s">
        <v>97</v>
      </c>
      <c r="D25" s="78">
        <f>IF('Rejseafregning '!$AG$15=Beregninger!G64,Beregninger!G65,Beregninger!E65)</f>
        <v>521</v>
      </c>
      <c r="E25" s="149"/>
      <c r="G25" s="441" t="s">
        <v>86</v>
      </c>
      <c r="H25" s="442"/>
      <c r="I25" s="443"/>
    </row>
    <row r="26" spans="1:10" ht="12.6" x14ac:dyDescent="0.2">
      <c r="A26" s="66"/>
      <c r="B26" s="76" t="s">
        <v>12</v>
      </c>
      <c r="C26" s="77" t="s">
        <v>103</v>
      </c>
      <c r="D26" s="78">
        <f>IF('Rejseafregning '!$AG$15=Beregninger!G65,Beregninger!G66,Beregninger!E66)</f>
        <v>521</v>
      </c>
      <c r="E26" s="149"/>
      <c r="G26" s="72" t="s">
        <v>89</v>
      </c>
      <c r="H26" s="74" t="s">
        <v>252</v>
      </c>
      <c r="I26" s="74" t="s">
        <v>252</v>
      </c>
      <c r="J26" s="74" t="s">
        <v>253</v>
      </c>
    </row>
    <row r="27" spans="1:10" ht="12.6" x14ac:dyDescent="0.2">
      <c r="A27" s="66"/>
      <c r="B27" s="76" t="s">
        <v>61</v>
      </c>
      <c r="C27" s="77" t="s">
        <v>124</v>
      </c>
      <c r="D27" s="78">
        <f>IF('Rejseafregning '!$AG$15=Beregninger!G66,Beregninger!G67,Beregninger!E67)</f>
        <v>521</v>
      </c>
      <c r="E27" s="149"/>
      <c r="G27" s="92" t="s">
        <v>87</v>
      </c>
      <c r="H27" s="93">
        <v>256</v>
      </c>
      <c r="I27" s="94">
        <v>256</v>
      </c>
      <c r="J27" s="94">
        <v>268</v>
      </c>
    </row>
    <row r="28" spans="1:10" ht="12.6" x14ac:dyDescent="0.2">
      <c r="A28" s="66"/>
      <c r="B28" s="76" t="s">
        <v>13</v>
      </c>
      <c r="C28" s="77" t="s">
        <v>13</v>
      </c>
      <c r="D28" s="78">
        <f>IF('Rejseafregning '!$AG$15=Beregninger!G67,Beregninger!G68,Beregninger!E68)</f>
        <v>521</v>
      </c>
      <c r="E28" s="149"/>
    </row>
    <row r="29" spans="1:10" ht="12.6" x14ac:dyDescent="0.2">
      <c r="A29" s="66"/>
      <c r="B29" s="83" t="s">
        <v>140</v>
      </c>
      <c r="C29" s="84" t="s">
        <v>141</v>
      </c>
      <c r="D29" s="85">
        <f>IF('Rejseafregning '!$AG$15=Beregninger!G68,Beregninger!G69,Beregninger!E69)</f>
        <v>521</v>
      </c>
      <c r="E29" s="149"/>
    </row>
    <row r="30" spans="1:10" ht="12.6" x14ac:dyDescent="0.2">
      <c r="A30" s="66"/>
      <c r="B30" s="76" t="s">
        <v>14</v>
      </c>
      <c r="C30" s="77" t="s">
        <v>104</v>
      </c>
      <c r="D30" s="78">
        <f>IF('Rejseafregning '!$AG$15=Beregninger!G69,Beregninger!G70,Beregninger!E70)</f>
        <v>521</v>
      </c>
      <c r="E30" s="149"/>
    </row>
    <row r="31" spans="1:10" ht="12.6" x14ac:dyDescent="0.2">
      <c r="A31" s="66"/>
      <c r="B31" s="76" t="s">
        <v>15</v>
      </c>
      <c r="C31" s="77" t="s">
        <v>107</v>
      </c>
      <c r="D31" s="78">
        <f>IF('Rejseafregning '!$AG$15=Beregninger!G70,Beregninger!G71,Beregninger!E71)</f>
        <v>521</v>
      </c>
      <c r="E31" s="149"/>
    </row>
    <row r="32" spans="1:10" ht="12.6" x14ac:dyDescent="0.2">
      <c r="A32" s="66"/>
      <c r="B32" s="76" t="s">
        <v>16</v>
      </c>
      <c r="C32" s="77" t="s">
        <v>108</v>
      </c>
      <c r="D32" s="78">
        <f>IF('Rejseafregning '!$AG$15=Beregninger!G71,Beregninger!G72,Beregninger!E72)</f>
        <v>521</v>
      </c>
      <c r="E32" s="149"/>
    </row>
    <row r="33" spans="1:5" ht="12.6" x14ac:dyDescent="0.2">
      <c r="A33" s="66"/>
      <c r="B33" s="76" t="s">
        <v>17</v>
      </c>
      <c r="C33" s="77" t="s">
        <v>122</v>
      </c>
      <c r="D33" s="78">
        <f>IF('Rejseafregning '!$AG$15=Beregninger!G72,Beregninger!G73,Beregninger!E73)</f>
        <v>521</v>
      </c>
      <c r="E33" s="149"/>
    </row>
    <row r="34" spans="1:5" ht="12.6" x14ac:dyDescent="0.2">
      <c r="A34" s="66"/>
      <c r="B34" s="83" t="s">
        <v>79</v>
      </c>
      <c r="C34" s="84" t="s">
        <v>109</v>
      </c>
      <c r="D34" s="85">
        <f>IF('Rejseafregning '!$AG$15=Beregninger!G73,Beregninger!G74,Beregninger!E74)</f>
        <v>521</v>
      </c>
      <c r="E34" s="149"/>
    </row>
    <row r="35" spans="1:5" ht="12.6" x14ac:dyDescent="0.2">
      <c r="A35" s="66"/>
      <c r="B35" s="76" t="s">
        <v>62</v>
      </c>
      <c r="C35" s="77" t="s">
        <v>112</v>
      </c>
      <c r="D35" s="78">
        <f>IF('Rejseafregning '!$AG$15=Beregninger!G74,Beregninger!G75,Beregninger!E75)</f>
        <v>287</v>
      </c>
      <c r="E35" s="149"/>
    </row>
    <row r="36" spans="1:5" ht="12.6" x14ac:dyDescent="0.2">
      <c r="A36" s="66"/>
      <c r="B36" s="76" t="s">
        <v>63</v>
      </c>
      <c r="C36" s="77" t="s">
        <v>113</v>
      </c>
      <c r="D36" s="78">
        <f>IF('Rejseafregning '!$AG$15=Beregninger!G75,Beregninger!G76,Beregninger!E76)</f>
        <v>521</v>
      </c>
      <c r="E36" s="149"/>
    </row>
    <row r="37" spans="1:5" ht="12.6" x14ac:dyDescent="0.2">
      <c r="A37" s="66"/>
      <c r="B37" s="76" t="s">
        <v>64</v>
      </c>
      <c r="C37" s="77" t="s">
        <v>114</v>
      </c>
      <c r="D37" s="78">
        <f>IF('Rejseafregning '!$AG$15=Beregninger!G76,Beregninger!G77,Beregninger!E77)</f>
        <v>298</v>
      </c>
      <c r="E37" s="149"/>
    </row>
    <row r="38" spans="1:5" ht="12.6" x14ac:dyDescent="0.2">
      <c r="A38" s="66"/>
      <c r="B38" s="76" t="s">
        <v>18</v>
      </c>
      <c r="C38" s="77" t="s">
        <v>115</v>
      </c>
      <c r="D38" s="78">
        <f>IF('Rejseafregning '!$AG$15=Beregninger!G77,Beregninger!G78,Beregninger!E78)</f>
        <v>521</v>
      </c>
      <c r="E38" s="149"/>
    </row>
    <row r="39" spans="1:5" ht="12.6" x14ac:dyDescent="0.2">
      <c r="A39" s="66"/>
      <c r="B39" s="83" t="s">
        <v>19</v>
      </c>
      <c r="C39" s="84" t="s">
        <v>111</v>
      </c>
      <c r="D39" s="85">
        <f>IF('Rejseafregning '!$AG$15=Beregninger!G78,Beregninger!G79,Beregninger!E79)</f>
        <v>521</v>
      </c>
      <c r="E39" s="149"/>
    </row>
    <row r="40" spans="1:5" ht="12.6" x14ac:dyDescent="0.2">
      <c r="A40" s="66"/>
      <c r="B40" s="76" t="s">
        <v>65</v>
      </c>
      <c r="C40" s="77" t="s">
        <v>65</v>
      </c>
      <c r="D40" s="78">
        <f>IF('Rejseafregning '!$AG$15=Beregninger!G79,Beregninger!G80,Beregninger!E80)</f>
        <v>521</v>
      </c>
      <c r="E40" s="149"/>
    </row>
    <row r="41" spans="1:5" ht="12.6" x14ac:dyDescent="0.2">
      <c r="A41" s="66"/>
      <c r="B41" s="76" t="s">
        <v>20</v>
      </c>
      <c r="C41" s="77" t="s">
        <v>116</v>
      </c>
      <c r="D41" s="78">
        <f>IF('Rejseafregning '!$AG$15=Beregninger!G80,Beregninger!G81,Beregninger!E81)</f>
        <v>521</v>
      </c>
      <c r="E41" s="149"/>
    </row>
    <row r="42" spans="1:5" ht="12.6" x14ac:dyDescent="0.2">
      <c r="A42" s="66"/>
      <c r="B42" s="76" t="s">
        <v>66</v>
      </c>
      <c r="C42" s="77" t="s">
        <v>66</v>
      </c>
      <c r="D42" s="78">
        <f>IF('Rejseafregning '!$AG$15=Beregninger!G81,Beregninger!G82,Beregninger!E82)</f>
        <v>521</v>
      </c>
      <c r="E42" s="149"/>
    </row>
    <row r="43" spans="1:5" ht="12.6" x14ac:dyDescent="0.2">
      <c r="A43" s="66"/>
      <c r="B43" s="76" t="s">
        <v>67</v>
      </c>
      <c r="C43" s="77" t="s">
        <v>67</v>
      </c>
      <c r="D43" s="78">
        <f>IF('Rejseafregning '!$AG$15=Beregninger!G82,Beregninger!G83,Beregninger!E83)</f>
        <v>521</v>
      </c>
      <c r="E43" s="149"/>
    </row>
    <row r="44" spans="1:5" ht="12.6" x14ac:dyDescent="0.2">
      <c r="A44" s="66"/>
      <c r="B44" s="83" t="s">
        <v>41</v>
      </c>
      <c r="C44" s="84" t="s">
        <v>41</v>
      </c>
      <c r="D44" s="85">
        <f>IF('Rejseafregning '!$AG$15=Beregninger!G83,Beregninger!G84,Beregninger!E84)</f>
        <v>521</v>
      </c>
      <c r="E44" s="149"/>
    </row>
    <row r="45" spans="1:5" ht="12.6" x14ac:dyDescent="0.2">
      <c r="A45" s="66"/>
      <c r="B45" s="76" t="s">
        <v>68</v>
      </c>
      <c r="C45" s="77" t="s">
        <v>96</v>
      </c>
      <c r="D45" s="78">
        <f>IF('Rejseafregning '!$AG$15=Beregninger!G84,Beregninger!G85,Beregninger!E85)</f>
        <v>521</v>
      </c>
      <c r="E45" s="149"/>
    </row>
    <row r="46" spans="1:5" ht="12.6" x14ac:dyDescent="0.2">
      <c r="A46" s="66"/>
      <c r="B46" s="76" t="s">
        <v>69</v>
      </c>
      <c r="C46" s="77" t="s">
        <v>69</v>
      </c>
      <c r="D46" s="78">
        <f>IF('Rejseafregning '!$AG$15=Beregninger!G85,Beregninger!G86,Beregninger!E86)</f>
        <v>521</v>
      </c>
      <c r="E46" s="149"/>
    </row>
    <row r="47" spans="1:5" ht="12.6" x14ac:dyDescent="0.2">
      <c r="A47" s="66"/>
      <c r="B47" s="76" t="s">
        <v>21</v>
      </c>
      <c r="C47" s="77" t="s">
        <v>119</v>
      </c>
      <c r="D47" s="78">
        <f>IF('Rejseafregning '!$AG$15=Beregninger!G86,Beregninger!G87,Beregninger!E87)</f>
        <v>521</v>
      </c>
      <c r="E47" s="149"/>
    </row>
    <row r="48" spans="1:5" ht="12.6" x14ac:dyDescent="0.2">
      <c r="A48" s="66"/>
      <c r="B48" s="76" t="s">
        <v>22</v>
      </c>
      <c r="C48" s="77" t="s">
        <v>120</v>
      </c>
      <c r="D48" s="78">
        <f>IF('Rejseafregning '!$AG$15=Beregninger!G87,Beregninger!G88,Beregninger!E88)</f>
        <v>521</v>
      </c>
      <c r="E48" s="149"/>
    </row>
    <row r="49" spans="1:5" ht="12.6" x14ac:dyDescent="0.2">
      <c r="A49" s="66"/>
      <c r="B49" s="83" t="s">
        <v>23</v>
      </c>
      <c r="C49" s="84" t="s">
        <v>23</v>
      </c>
      <c r="D49" s="85">
        <f>IF('Rejseafregning '!$AG$15=Beregninger!G88,Beregninger!G89,Beregninger!E89)</f>
        <v>521</v>
      </c>
      <c r="E49" s="149"/>
    </row>
    <row r="50" spans="1:5" ht="12.6" x14ac:dyDescent="0.2">
      <c r="A50" s="66"/>
      <c r="B50" s="76" t="s">
        <v>70</v>
      </c>
      <c r="C50" s="77" t="s">
        <v>70</v>
      </c>
      <c r="D50" s="78">
        <f>IF('Rejseafregning '!$AG$15=Beregninger!G89,Beregninger!G90,Beregninger!E90)</f>
        <v>292</v>
      </c>
      <c r="E50" s="149"/>
    </row>
    <row r="51" spans="1:5" ht="12.6" x14ac:dyDescent="0.2">
      <c r="A51" s="66"/>
      <c r="B51" s="76" t="s">
        <v>42</v>
      </c>
      <c r="C51" s="77" t="s">
        <v>121</v>
      </c>
      <c r="D51" s="78">
        <f>IF('Rejseafregning '!$AG$15=Beregninger!G90,Beregninger!G91,Beregninger!E91)</f>
        <v>521</v>
      </c>
      <c r="E51" s="149"/>
    </row>
    <row r="52" spans="1:5" ht="12.6" x14ac:dyDescent="0.2">
      <c r="A52" s="66"/>
      <c r="B52" s="76" t="s">
        <v>56</v>
      </c>
      <c r="C52" s="77" t="s">
        <v>56</v>
      </c>
      <c r="D52" s="78">
        <f>IF('Rejseafregning '!$AG$15=Beregninger!G91,Beregninger!G92,Beregninger!E92)</f>
        <v>521</v>
      </c>
      <c r="E52" s="149"/>
    </row>
    <row r="53" spans="1:5" ht="12.6" x14ac:dyDescent="0.2">
      <c r="A53" s="66"/>
      <c r="B53" s="76" t="s">
        <v>43</v>
      </c>
      <c r="C53" s="77" t="s">
        <v>43</v>
      </c>
      <c r="D53" s="78">
        <f>IF('Rejseafregning '!$AG$15=Beregninger!G92,Beregninger!G93,Beregninger!E93)</f>
        <v>347</v>
      </c>
      <c r="E53" s="149"/>
    </row>
    <row r="54" spans="1:5" ht="12.6" x14ac:dyDescent="0.2">
      <c r="A54" s="66"/>
      <c r="B54" s="83" t="s">
        <v>71</v>
      </c>
      <c r="C54" s="84" t="s">
        <v>71</v>
      </c>
      <c r="D54" s="85">
        <f>IF('Rejseafregning '!$AG$15=Beregninger!G93,Beregninger!G94,Beregninger!E94)</f>
        <v>242</v>
      </c>
      <c r="E54" s="149"/>
    </row>
    <row r="55" spans="1:5" ht="12.6" x14ac:dyDescent="0.2">
      <c r="A55" s="66"/>
      <c r="B55" s="76" t="s">
        <v>80</v>
      </c>
      <c r="C55" s="77" t="s">
        <v>80</v>
      </c>
      <c r="D55" s="78">
        <f>IF('Rejseafregning '!$AG$15=Beregninger!G94,Beregninger!G95,Beregninger!E95)</f>
        <v>521</v>
      </c>
      <c r="E55" s="149"/>
    </row>
    <row r="56" spans="1:5" ht="12.6" x14ac:dyDescent="0.2">
      <c r="A56" s="66"/>
      <c r="B56" s="76" t="s">
        <v>24</v>
      </c>
      <c r="C56" s="77" t="s">
        <v>123</v>
      </c>
      <c r="D56" s="78">
        <f>IF('Rejseafregning '!$AG$15=Beregninger!G95,Beregninger!G96,Beregninger!E96)</f>
        <v>521</v>
      </c>
      <c r="E56" s="149"/>
    </row>
    <row r="57" spans="1:5" ht="12.6" x14ac:dyDescent="0.2">
      <c r="A57" s="66"/>
      <c r="B57" s="76" t="s">
        <v>72</v>
      </c>
      <c r="C57" s="77" t="s">
        <v>72</v>
      </c>
      <c r="D57" s="78">
        <f>IF('Rejseafregning '!$AG$15=Beregninger!G96,Beregninger!G97,Beregninger!E97)</f>
        <v>521</v>
      </c>
      <c r="E57" s="149"/>
    </row>
    <row r="58" spans="1:5" ht="12.6" x14ac:dyDescent="0.2">
      <c r="A58" s="66"/>
      <c r="B58" s="76" t="s">
        <v>73</v>
      </c>
      <c r="C58" s="77" t="s">
        <v>73</v>
      </c>
      <c r="D58" s="78">
        <f>IF('Rejseafregning '!$AG$15=Beregninger!G97,Beregninger!G98,Beregninger!E98)</f>
        <v>246</v>
      </c>
      <c r="E58" s="149"/>
    </row>
    <row r="59" spans="1:5" ht="12.6" x14ac:dyDescent="0.2">
      <c r="A59" s="66"/>
      <c r="B59" s="83" t="s">
        <v>25</v>
      </c>
      <c r="C59" s="84" t="s">
        <v>125</v>
      </c>
      <c r="D59" s="85">
        <f>IF('Rejseafregning '!$AG$15=Beregninger!G98,Beregninger!G99,Beregninger!E99)</f>
        <v>521</v>
      </c>
      <c r="E59" s="149"/>
    </row>
    <row r="60" spans="1:5" ht="12.6" x14ac:dyDescent="0.2">
      <c r="A60" s="66"/>
      <c r="B60" s="76" t="s">
        <v>26</v>
      </c>
      <c r="C60" s="77" t="s">
        <v>26</v>
      </c>
      <c r="D60" s="78">
        <f>IF('Rejseafregning '!$AG$15=Beregninger!G99,Beregninger!G100,Beregninger!E100)</f>
        <v>521</v>
      </c>
      <c r="E60" s="149"/>
    </row>
    <row r="61" spans="1:5" ht="12.6" x14ac:dyDescent="0.2">
      <c r="A61" s="66"/>
      <c r="B61" s="76" t="s">
        <v>74</v>
      </c>
      <c r="C61" s="77" t="s">
        <v>74</v>
      </c>
      <c r="D61" s="78">
        <f>IF('Rejseafregning '!$AG$15=Beregninger!G100,Beregninger!G101,Beregninger!E101)</f>
        <v>521</v>
      </c>
      <c r="E61" s="149"/>
    </row>
    <row r="62" spans="1:5" ht="12.6" x14ac:dyDescent="0.2">
      <c r="A62" s="66"/>
      <c r="B62" s="76" t="s">
        <v>27</v>
      </c>
      <c r="C62" s="77" t="s">
        <v>126</v>
      </c>
      <c r="D62" s="78">
        <f>IF('Rejseafregning '!$AG$15=Beregninger!G101,Beregninger!G102,Beregninger!E102)</f>
        <v>521</v>
      </c>
      <c r="E62" s="149"/>
    </row>
    <row r="63" spans="1:5" ht="12.6" x14ac:dyDescent="0.2">
      <c r="A63" s="66"/>
      <c r="B63" s="76" t="s">
        <v>28</v>
      </c>
      <c r="C63" s="77" t="s">
        <v>127</v>
      </c>
      <c r="D63" s="78">
        <f>IF('Rejseafregning '!$AG$15=Beregninger!G102,Beregninger!G103,Beregninger!E103)</f>
        <v>521</v>
      </c>
      <c r="E63" s="149"/>
    </row>
    <row r="64" spans="1:5" ht="12.6" x14ac:dyDescent="0.2">
      <c r="A64" s="66"/>
      <c r="B64" s="83" t="s">
        <v>128</v>
      </c>
      <c r="C64" s="84" t="s">
        <v>129</v>
      </c>
      <c r="D64" s="85">
        <f>IF('Rejseafregning '!$AG$15=Beregninger!G103,Beregninger!G104,Beregninger!E104)</f>
        <v>521</v>
      </c>
      <c r="E64" s="149"/>
    </row>
    <row r="65" spans="1:5" ht="12.6" x14ac:dyDescent="0.2">
      <c r="A65" s="66"/>
      <c r="B65" s="76" t="s">
        <v>29</v>
      </c>
      <c r="C65" s="77" t="s">
        <v>134</v>
      </c>
      <c r="D65" s="115">
        <f>IF('Rejseafregning '!$AG$15=Beregninger!G104,Beregninger!G105,Beregninger!E105)</f>
        <v>521</v>
      </c>
      <c r="E65" s="149"/>
    </row>
    <row r="66" spans="1:5" ht="12.6" x14ac:dyDescent="0.2">
      <c r="A66" s="66"/>
      <c r="B66" s="76" t="s">
        <v>75</v>
      </c>
      <c r="C66" s="77" t="s">
        <v>75</v>
      </c>
      <c r="D66" s="78">
        <f>IF('Rejseafregning '!$AG$15=Beregninger!G105,Beregninger!G106,Beregninger!E106)</f>
        <v>521</v>
      </c>
      <c r="E66" s="149"/>
    </row>
    <row r="67" spans="1:5" ht="12.6" x14ac:dyDescent="0.2">
      <c r="A67" s="66"/>
      <c r="B67" s="76" t="s">
        <v>30</v>
      </c>
      <c r="C67" s="77" t="s">
        <v>130</v>
      </c>
      <c r="D67" s="78">
        <f>IF('Rejseafregning '!$AG$15=Beregninger!G106,Beregninger!G107,Beregninger!E107)</f>
        <v>369</v>
      </c>
      <c r="E67" s="149"/>
    </row>
    <row r="68" spans="1:5" ht="12.6" x14ac:dyDescent="0.2">
      <c r="A68" s="66"/>
      <c r="B68" s="76" t="s">
        <v>31</v>
      </c>
      <c r="C68" s="77" t="s">
        <v>132</v>
      </c>
      <c r="D68" s="78">
        <f>IF('Rejseafregning '!$AG$15=Beregninger!G107,Beregninger!G108,Beregninger!E108)</f>
        <v>521</v>
      </c>
      <c r="E68" s="149"/>
    </row>
    <row r="69" spans="1:5" ht="12.6" x14ac:dyDescent="0.2">
      <c r="A69" s="66"/>
      <c r="B69" s="83" t="s">
        <v>32</v>
      </c>
      <c r="C69" s="84" t="s">
        <v>106</v>
      </c>
      <c r="D69" s="85">
        <f>IF('Rejseafregning '!$AG$15=Beregninger!G108,Beregninger!G109,Beregninger!E109)</f>
        <v>521</v>
      </c>
      <c r="E69" s="149"/>
    </row>
    <row r="70" spans="1:5" ht="12.6" x14ac:dyDescent="0.2">
      <c r="A70" s="66"/>
      <c r="B70" s="76" t="s">
        <v>33</v>
      </c>
      <c r="C70" s="77" t="s">
        <v>133</v>
      </c>
      <c r="D70" s="78">
        <f>IF('Rejseafregning '!$AG$15=Beregninger!G109,Beregninger!G110,Beregninger!E110)</f>
        <v>521</v>
      </c>
      <c r="E70" s="149"/>
    </row>
    <row r="71" spans="1:5" ht="12.6" x14ac:dyDescent="0.2">
      <c r="A71" s="66"/>
      <c r="B71" s="76" t="s">
        <v>44</v>
      </c>
      <c r="C71" s="77" t="s">
        <v>131</v>
      </c>
      <c r="D71" s="78">
        <f>IF('Rejseafregning '!$AG$15=Beregninger!G110,Beregninger!G111,Beregninger!E111)</f>
        <v>287</v>
      </c>
      <c r="E71" s="149"/>
    </row>
    <row r="72" spans="1:5" ht="12.6" x14ac:dyDescent="0.2">
      <c r="A72" s="66"/>
      <c r="B72" s="76" t="s">
        <v>117</v>
      </c>
      <c r="C72" s="77" t="s">
        <v>118</v>
      </c>
      <c r="D72" s="78">
        <f>IF('Rejseafregning '!$AG$15=Beregninger!G111,Beregninger!G112,Beregninger!E112)</f>
        <v>521</v>
      </c>
      <c r="E72" s="149"/>
    </row>
    <row r="73" spans="1:5" ht="12.6" x14ac:dyDescent="0.2">
      <c r="A73" s="66"/>
      <c r="B73" s="76" t="s">
        <v>76</v>
      </c>
      <c r="C73" s="77" t="s">
        <v>135</v>
      </c>
      <c r="D73" s="78">
        <f>IF('Rejseafregning '!$AG$15=Beregninger!G112,Beregninger!G113,Beregninger!E113)</f>
        <v>521</v>
      </c>
      <c r="E73" s="149"/>
    </row>
    <row r="74" spans="1:5" ht="12.6" x14ac:dyDescent="0.2">
      <c r="A74" s="66"/>
      <c r="B74" s="83" t="s">
        <v>45</v>
      </c>
      <c r="C74" s="84" t="s">
        <v>136</v>
      </c>
      <c r="D74" s="85">
        <f>IF('Rejseafregning '!$AG$15=Beregninger!G113,Beregninger!G114,Beregninger!E114)</f>
        <v>521</v>
      </c>
      <c r="E74" s="149"/>
    </row>
    <row r="75" spans="1:5" ht="12.6" x14ac:dyDescent="0.2">
      <c r="A75" s="66"/>
      <c r="B75" s="76" t="s">
        <v>77</v>
      </c>
      <c r="C75" s="77" t="s">
        <v>77</v>
      </c>
      <c r="D75" s="78">
        <f>IF('Rejseafregning '!$AG$15=Beregninger!G114,Beregninger!G115,Beregninger!E115)</f>
        <v>356</v>
      </c>
      <c r="E75" s="149"/>
    </row>
    <row r="76" spans="1:5" ht="12.6" x14ac:dyDescent="0.2">
      <c r="A76" s="66"/>
      <c r="B76" s="76" t="s">
        <v>34</v>
      </c>
      <c r="C76" s="77" t="s">
        <v>99</v>
      </c>
      <c r="D76" s="78">
        <f>IF('Rejseafregning '!$AG$15=Beregninger!G115,Beregninger!G116,Beregninger!E116)</f>
        <v>521</v>
      </c>
      <c r="E76" s="149"/>
    </row>
    <row r="77" spans="1:5" ht="12.6" x14ac:dyDescent="0.2">
      <c r="A77" s="66"/>
      <c r="B77" s="76" t="s">
        <v>46</v>
      </c>
      <c r="C77" s="77" t="s">
        <v>137</v>
      </c>
      <c r="D77" s="78">
        <f>IF('Rejseafregning '!$AG$15=Beregninger!G116,Beregninger!G117,Beregninger!E117)</f>
        <v>411</v>
      </c>
      <c r="E77" s="149"/>
    </row>
    <row r="78" spans="1:5" ht="12.6" x14ac:dyDescent="0.2">
      <c r="A78" s="66"/>
      <c r="B78" s="76" t="s">
        <v>35</v>
      </c>
      <c r="C78" s="77" t="s">
        <v>138</v>
      </c>
      <c r="D78" s="78">
        <f>IF('Rejseafregning '!$AG$15=Beregninger!G117,Beregninger!G118,Beregninger!E118)</f>
        <v>521</v>
      </c>
      <c r="E78" s="149"/>
    </row>
    <row r="79" spans="1:5" ht="12.6" x14ac:dyDescent="0.2">
      <c r="A79" s="66"/>
      <c r="B79" s="83" t="s">
        <v>36</v>
      </c>
      <c r="C79" s="84" t="s">
        <v>105</v>
      </c>
      <c r="D79" s="85">
        <f>IF('Rejseafregning '!$AG$15=Beregninger!G118,Beregninger!G119,Beregninger!E119)</f>
        <v>521</v>
      </c>
      <c r="E79" s="149"/>
    </row>
    <row r="80" spans="1:5" ht="12.6" x14ac:dyDescent="0.2">
      <c r="A80" s="66"/>
      <c r="B80" s="76" t="s">
        <v>37</v>
      </c>
      <c r="C80" s="77" t="s">
        <v>139</v>
      </c>
      <c r="D80" s="78">
        <f>IF('Rejseafregning '!$AG$15=Beregninger!G119,Beregninger!G120,Beregninger!E120)</f>
        <v>521</v>
      </c>
      <c r="E80" s="149"/>
    </row>
    <row r="81" spans="1:5" ht="12.6" x14ac:dyDescent="0.2">
      <c r="A81" s="66"/>
      <c r="B81" s="76" t="s">
        <v>38</v>
      </c>
      <c r="C81" s="77" t="s">
        <v>110</v>
      </c>
      <c r="D81" s="78">
        <f>IF('Rejseafregning '!$AG$15=Beregninger!G120,Beregninger!G121,Beregninger!E121)</f>
        <v>521</v>
      </c>
      <c r="E81" s="149"/>
    </row>
    <row r="82" spans="1:5" ht="12.6" x14ac:dyDescent="0.2">
      <c r="A82" s="66"/>
      <c r="B82" s="76" t="s">
        <v>57</v>
      </c>
      <c r="C82" s="77" t="s">
        <v>142</v>
      </c>
      <c r="D82" s="78">
        <f>IF('Rejseafregning '!$AG$15=Beregninger!G121,Beregninger!G122,Beregninger!E122)</f>
        <v>521</v>
      </c>
      <c r="E82" s="149"/>
    </row>
    <row r="83" spans="1:5" ht="12.6" x14ac:dyDescent="0.2">
      <c r="A83" s="66"/>
      <c r="B83" s="76" t="s">
        <v>58</v>
      </c>
      <c r="C83" s="77" t="s">
        <v>143</v>
      </c>
      <c r="D83" s="78">
        <f>IF('Rejseafregning '!$AG$15=Beregninger!G122,Beregninger!G123,Beregninger!E123)</f>
        <v>521</v>
      </c>
      <c r="E83" s="149"/>
    </row>
    <row r="84" spans="1:5" ht="12.6" x14ac:dyDescent="0.2">
      <c r="A84" s="66"/>
      <c r="B84" s="83" t="s">
        <v>47</v>
      </c>
      <c r="C84" s="84" t="s">
        <v>47</v>
      </c>
      <c r="D84" s="85">
        <f>IF('Rejseafregning '!$AG$15=Beregninger!G123,Beregninger!G124,Beregninger!E124)</f>
        <v>395</v>
      </c>
      <c r="E84" s="149"/>
    </row>
    <row r="85" spans="1:5" ht="12.6" x14ac:dyDescent="0.2">
      <c r="A85" s="66"/>
      <c r="B85" s="76" t="s">
        <v>48</v>
      </c>
      <c r="C85" s="77" t="s">
        <v>48</v>
      </c>
      <c r="D85" s="78">
        <f>IF('Rejseafregning '!$AG$15=Beregninger!G124,Beregninger!G125,Beregninger!E125)</f>
        <v>298</v>
      </c>
      <c r="E85" s="149"/>
    </row>
    <row r="86" spans="1:5" ht="12.6" x14ac:dyDescent="0.2">
      <c r="A86" s="66"/>
      <c r="B86" s="76" t="s">
        <v>39</v>
      </c>
      <c r="C86" s="77" t="s">
        <v>92</v>
      </c>
      <c r="D86" s="78">
        <f>IF('Rejseafregning '!$AG$15=Beregninger!G125,Beregninger!G126,Beregninger!E126)</f>
        <v>521</v>
      </c>
      <c r="E86" s="149"/>
    </row>
    <row r="87" spans="1:5" ht="12.6" x14ac:dyDescent="0.2">
      <c r="A87" s="66"/>
      <c r="B87" s="95" t="s">
        <v>144</v>
      </c>
      <c r="C87" s="96" t="s">
        <v>145</v>
      </c>
      <c r="D87" s="97">
        <f>IF('Rejseafregning '!$AG$15=Beregninger!G126,Beregninger!G127,Beregninger!E127)</f>
        <v>521</v>
      </c>
      <c r="E87" s="150"/>
    </row>
    <row r="88" spans="1:5" ht="12.6" x14ac:dyDescent="0.2">
      <c r="B88" s="98" t="s">
        <v>49</v>
      </c>
      <c r="C88" s="98" t="s">
        <v>49</v>
      </c>
      <c r="D88" s="116">
        <f>D10</f>
        <v>521</v>
      </c>
      <c r="E88" s="116"/>
    </row>
    <row r="89" spans="1:5" ht="12.6" x14ac:dyDescent="0.2">
      <c r="B89" s="99" t="s">
        <v>91</v>
      </c>
      <c r="C89" s="99" t="s">
        <v>78</v>
      </c>
      <c r="D89" s="116">
        <f t="shared" ref="D89:D152" si="0">D11</f>
        <v>521</v>
      </c>
      <c r="E89" s="116"/>
    </row>
    <row r="90" spans="1:5" ht="12.6" x14ac:dyDescent="0.2">
      <c r="B90" s="99" t="s">
        <v>59</v>
      </c>
      <c r="C90" s="99" t="s">
        <v>59</v>
      </c>
      <c r="D90" s="116">
        <f t="shared" si="0"/>
        <v>395</v>
      </c>
      <c r="E90" s="116"/>
    </row>
    <row r="91" spans="1:5" ht="12.6" x14ac:dyDescent="0.2">
      <c r="B91" s="99" t="s">
        <v>93</v>
      </c>
      <c r="C91" s="99" t="s">
        <v>9</v>
      </c>
      <c r="D91" s="116">
        <f t="shared" si="0"/>
        <v>521</v>
      </c>
      <c r="E91" s="116"/>
    </row>
    <row r="92" spans="1:5" ht="12.6" x14ac:dyDescent="0.2">
      <c r="B92" s="99" t="s">
        <v>60</v>
      </c>
      <c r="C92" s="99" t="s">
        <v>60</v>
      </c>
      <c r="D92" s="116">
        <f t="shared" si="0"/>
        <v>218</v>
      </c>
      <c r="E92" s="116"/>
    </row>
    <row r="93" spans="1:5" ht="12.6" x14ac:dyDescent="0.2">
      <c r="B93" s="99" t="s">
        <v>50</v>
      </c>
      <c r="C93" s="99" t="s">
        <v>50</v>
      </c>
      <c r="D93" s="116">
        <f t="shared" si="0"/>
        <v>298</v>
      </c>
      <c r="E93" s="116"/>
    </row>
    <row r="94" spans="1:5" ht="12.6" x14ac:dyDescent="0.2">
      <c r="B94" s="99" t="s">
        <v>94</v>
      </c>
      <c r="C94" s="99" t="s">
        <v>51</v>
      </c>
      <c r="D94" s="116">
        <f t="shared" si="0"/>
        <v>521</v>
      </c>
      <c r="E94" s="116"/>
    </row>
    <row r="95" spans="1:5" ht="12.6" x14ac:dyDescent="0.2">
      <c r="B95" s="99" t="s">
        <v>95</v>
      </c>
      <c r="C95" s="99" t="s">
        <v>10</v>
      </c>
      <c r="D95" s="116">
        <f t="shared" si="0"/>
        <v>387</v>
      </c>
      <c r="E95" s="116"/>
    </row>
    <row r="96" spans="1:5" ht="12.6" x14ac:dyDescent="0.2">
      <c r="B96" s="99" t="s">
        <v>52</v>
      </c>
      <c r="C96" s="99" t="s">
        <v>52</v>
      </c>
      <c r="D96" s="116">
        <f t="shared" si="0"/>
        <v>521</v>
      </c>
      <c r="E96" s="116"/>
    </row>
    <row r="97" spans="2:5" ht="12.6" x14ac:dyDescent="0.2">
      <c r="B97" s="99" t="s">
        <v>53</v>
      </c>
      <c r="C97" s="99" t="s">
        <v>53</v>
      </c>
      <c r="D97" s="116">
        <f t="shared" si="0"/>
        <v>521</v>
      </c>
      <c r="E97" s="116"/>
    </row>
    <row r="98" spans="2:5" ht="12.6" x14ac:dyDescent="0.2">
      <c r="B98" s="99" t="s">
        <v>54</v>
      </c>
      <c r="C98" s="99" t="s">
        <v>54</v>
      </c>
      <c r="D98" s="116">
        <f t="shared" si="0"/>
        <v>395</v>
      </c>
      <c r="E98" s="116"/>
    </row>
    <row r="99" spans="2:5" ht="12.6" x14ac:dyDescent="0.2">
      <c r="B99" s="99" t="s">
        <v>55</v>
      </c>
      <c r="C99" s="99" t="s">
        <v>55</v>
      </c>
      <c r="D99" s="116">
        <f t="shared" si="0"/>
        <v>417</v>
      </c>
      <c r="E99" s="116"/>
    </row>
    <row r="100" spans="2:5" ht="12.6" x14ac:dyDescent="0.2">
      <c r="B100" s="99" t="s">
        <v>98</v>
      </c>
      <c r="C100" s="99" t="s">
        <v>11</v>
      </c>
      <c r="D100" s="116">
        <f t="shared" si="0"/>
        <v>521</v>
      </c>
      <c r="E100" s="116"/>
    </row>
    <row r="101" spans="2:5" ht="12.6" x14ac:dyDescent="0.2">
      <c r="B101" s="99" t="s">
        <v>100</v>
      </c>
      <c r="C101" s="99" t="s">
        <v>82</v>
      </c>
      <c r="D101" s="116">
        <f t="shared" si="0"/>
        <v>446</v>
      </c>
      <c r="E101" s="116"/>
    </row>
    <row r="102" spans="2:5" ht="12.6" x14ac:dyDescent="0.2">
      <c r="B102" s="99" t="s">
        <v>102</v>
      </c>
      <c r="C102" s="99" t="s">
        <v>101</v>
      </c>
      <c r="D102" s="116">
        <f t="shared" si="0"/>
        <v>398</v>
      </c>
      <c r="E102" s="116"/>
    </row>
    <row r="103" spans="2:5" ht="12.6" x14ac:dyDescent="0.2">
      <c r="B103" s="99" t="s">
        <v>97</v>
      </c>
      <c r="C103" s="99" t="s">
        <v>40</v>
      </c>
      <c r="D103" s="116">
        <f t="shared" si="0"/>
        <v>521</v>
      </c>
      <c r="E103" s="116"/>
    </row>
    <row r="104" spans="2:5" ht="12.6" x14ac:dyDescent="0.2">
      <c r="B104" s="99" t="s">
        <v>103</v>
      </c>
      <c r="C104" s="99" t="s">
        <v>12</v>
      </c>
      <c r="D104" s="116">
        <f t="shared" si="0"/>
        <v>521</v>
      </c>
      <c r="E104" s="116"/>
    </row>
    <row r="105" spans="2:5" ht="12.6" x14ac:dyDescent="0.2">
      <c r="B105" s="99" t="s">
        <v>124</v>
      </c>
      <c r="C105" s="99" t="s">
        <v>61</v>
      </c>
      <c r="D105" s="116">
        <f t="shared" si="0"/>
        <v>521</v>
      </c>
      <c r="E105" s="116"/>
    </row>
    <row r="106" spans="2:5" ht="12.6" x14ac:dyDescent="0.2">
      <c r="B106" s="99" t="s">
        <v>13</v>
      </c>
      <c r="C106" s="99" t="s">
        <v>13</v>
      </c>
      <c r="D106" s="116">
        <f t="shared" si="0"/>
        <v>521</v>
      </c>
      <c r="E106" s="116"/>
    </row>
    <row r="107" spans="2:5" ht="12.6" x14ac:dyDescent="0.2">
      <c r="B107" s="99" t="s">
        <v>141</v>
      </c>
      <c r="C107" s="99" t="s">
        <v>140</v>
      </c>
      <c r="D107" s="116">
        <f t="shared" si="0"/>
        <v>521</v>
      </c>
      <c r="E107" s="116"/>
    </row>
    <row r="108" spans="2:5" ht="12.6" x14ac:dyDescent="0.2">
      <c r="B108" s="99" t="s">
        <v>104</v>
      </c>
      <c r="C108" s="99" t="s">
        <v>14</v>
      </c>
      <c r="D108" s="116">
        <f t="shared" si="0"/>
        <v>521</v>
      </c>
      <c r="E108" s="116"/>
    </row>
    <row r="109" spans="2:5" ht="12.6" x14ac:dyDescent="0.2">
      <c r="B109" s="99" t="s">
        <v>107</v>
      </c>
      <c r="C109" s="99" t="s">
        <v>15</v>
      </c>
      <c r="D109" s="116">
        <f t="shared" si="0"/>
        <v>521</v>
      </c>
      <c r="E109" s="116"/>
    </row>
    <row r="110" spans="2:5" ht="12.6" x14ac:dyDescent="0.2">
      <c r="B110" s="99" t="s">
        <v>108</v>
      </c>
      <c r="C110" s="99" t="s">
        <v>16</v>
      </c>
      <c r="D110" s="116">
        <f t="shared" si="0"/>
        <v>521</v>
      </c>
      <c r="E110" s="116"/>
    </row>
    <row r="111" spans="2:5" ht="12.6" x14ac:dyDescent="0.2">
      <c r="B111" s="99" t="s">
        <v>122</v>
      </c>
      <c r="C111" s="99" t="s">
        <v>17</v>
      </c>
      <c r="D111" s="116">
        <f t="shared" si="0"/>
        <v>521</v>
      </c>
      <c r="E111" s="116"/>
    </row>
    <row r="112" spans="2:5" ht="12.6" x14ac:dyDescent="0.2">
      <c r="B112" s="99" t="s">
        <v>109</v>
      </c>
      <c r="C112" s="99" t="s">
        <v>79</v>
      </c>
      <c r="D112" s="116">
        <f t="shared" si="0"/>
        <v>521</v>
      </c>
      <c r="E112" s="116"/>
    </row>
    <row r="113" spans="2:5" ht="12.6" x14ac:dyDescent="0.2">
      <c r="B113" s="99" t="s">
        <v>112</v>
      </c>
      <c r="C113" s="99" t="s">
        <v>62</v>
      </c>
      <c r="D113" s="116">
        <f t="shared" si="0"/>
        <v>287</v>
      </c>
      <c r="E113" s="116"/>
    </row>
    <row r="114" spans="2:5" ht="12.6" x14ac:dyDescent="0.2">
      <c r="B114" s="99" t="s">
        <v>113</v>
      </c>
      <c r="C114" s="99" t="s">
        <v>63</v>
      </c>
      <c r="D114" s="116">
        <f t="shared" si="0"/>
        <v>521</v>
      </c>
      <c r="E114" s="116"/>
    </row>
    <row r="115" spans="2:5" ht="12.6" x14ac:dyDescent="0.2">
      <c r="B115" s="99" t="s">
        <v>114</v>
      </c>
      <c r="C115" s="99" t="s">
        <v>64</v>
      </c>
      <c r="D115" s="116">
        <f t="shared" si="0"/>
        <v>298</v>
      </c>
      <c r="E115" s="116"/>
    </row>
    <row r="116" spans="2:5" ht="12.6" x14ac:dyDescent="0.2">
      <c r="B116" s="99" t="s">
        <v>115</v>
      </c>
      <c r="C116" s="99" t="s">
        <v>18</v>
      </c>
      <c r="D116" s="116">
        <f t="shared" si="0"/>
        <v>521</v>
      </c>
      <c r="E116" s="116"/>
    </row>
    <row r="117" spans="2:5" ht="12.6" x14ac:dyDescent="0.2">
      <c r="B117" s="99" t="s">
        <v>111</v>
      </c>
      <c r="C117" s="99" t="s">
        <v>19</v>
      </c>
      <c r="D117" s="116">
        <f t="shared" si="0"/>
        <v>521</v>
      </c>
      <c r="E117" s="116"/>
    </row>
    <row r="118" spans="2:5" ht="12.6" x14ac:dyDescent="0.2">
      <c r="B118" s="99" t="s">
        <v>65</v>
      </c>
      <c r="C118" s="99" t="s">
        <v>65</v>
      </c>
      <c r="D118" s="116">
        <f t="shared" si="0"/>
        <v>521</v>
      </c>
      <c r="E118" s="116"/>
    </row>
    <row r="119" spans="2:5" ht="12.6" x14ac:dyDescent="0.2">
      <c r="B119" s="99" t="s">
        <v>116</v>
      </c>
      <c r="C119" s="99" t="s">
        <v>20</v>
      </c>
      <c r="D119" s="116">
        <f t="shared" si="0"/>
        <v>521</v>
      </c>
      <c r="E119" s="116"/>
    </row>
    <row r="120" spans="2:5" ht="12.6" x14ac:dyDescent="0.2">
      <c r="B120" s="99" t="s">
        <v>66</v>
      </c>
      <c r="C120" s="99" t="s">
        <v>66</v>
      </c>
      <c r="D120" s="116">
        <f t="shared" si="0"/>
        <v>521</v>
      </c>
      <c r="E120" s="116"/>
    </row>
    <row r="121" spans="2:5" ht="12.6" x14ac:dyDescent="0.2">
      <c r="B121" s="99" t="s">
        <v>67</v>
      </c>
      <c r="C121" s="99" t="s">
        <v>67</v>
      </c>
      <c r="D121" s="116">
        <f t="shared" si="0"/>
        <v>521</v>
      </c>
      <c r="E121" s="116"/>
    </row>
    <row r="122" spans="2:5" ht="12.6" x14ac:dyDescent="0.2">
      <c r="B122" s="99" t="s">
        <v>41</v>
      </c>
      <c r="C122" s="99" t="s">
        <v>41</v>
      </c>
      <c r="D122" s="116">
        <f t="shared" si="0"/>
        <v>521</v>
      </c>
      <c r="E122" s="116"/>
    </row>
    <row r="123" spans="2:5" ht="12.6" x14ac:dyDescent="0.2">
      <c r="B123" s="99" t="s">
        <v>96</v>
      </c>
      <c r="C123" s="99" t="s">
        <v>68</v>
      </c>
      <c r="D123" s="116">
        <f t="shared" si="0"/>
        <v>521</v>
      </c>
      <c r="E123" s="116"/>
    </row>
    <row r="124" spans="2:5" ht="12.6" x14ac:dyDescent="0.2">
      <c r="B124" s="99" t="s">
        <v>69</v>
      </c>
      <c r="C124" s="99" t="s">
        <v>69</v>
      </c>
      <c r="D124" s="116">
        <f t="shared" si="0"/>
        <v>521</v>
      </c>
      <c r="E124" s="116"/>
    </row>
    <row r="125" spans="2:5" ht="12.6" x14ac:dyDescent="0.2">
      <c r="B125" s="99" t="s">
        <v>119</v>
      </c>
      <c r="C125" s="99" t="s">
        <v>21</v>
      </c>
      <c r="D125" s="116">
        <f t="shared" si="0"/>
        <v>521</v>
      </c>
      <c r="E125" s="116"/>
    </row>
    <row r="126" spans="2:5" ht="12.6" x14ac:dyDescent="0.2">
      <c r="B126" s="99" t="s">
        <v>120</v>
      </c>
      <c r="C126" s="99" t="s">
        <v>22</v>
      </c>
      <c r="D126" s="116">
        <f t="shared" si="0"/>
        <v>521</v>
      </c>
      <c r="E126" s="116"/>
    </row>
    <row r="127" spans="2:5" ht="12.6" x14ac:dyDescent="0.2">
      <c r="B127" s="99" t="s">
        <v>23</v>
      </c>
      <c r="C127" s="99" t="s">
        <v>23</v>
      </c>
      <c r="D127" s="116">
        <f t="shared" si="0"/>
        <v>521</v>
      </c>
      <c r="E127" s="116"/>
    </row>
    <row r="128" spans="2:5" ht="12.6" x14ac:dyDescent="0.2">
      <c r="B128" s="99" t="s">
        <v>70</v>
      </c>
      <c r="C128" s="99" t="s">
        <v>70</v>
      </c>
      <c r="D128" s="116">
        <f t="shared" si="0"/>
        <v>292</v>
      </c>
      <c r="E128" s="116"/>
    </row>
    <row r="129" spans="2:5" ht="12.6" x14ac:dyDescent="0.2">
      <c r="B129" s="99" t="s">
        <v>121</v>
      </c>
      <c r="C129" s="99" t="s">
        <v>42</v>
      </c>
      <c r="D129" s="116">
        <f t="shared" si="0"/>
        <v>521</v>
      </c>
      <c r="E129" s="116"/>
    </row>
    <row r="130" spans="2:5" ht="12.6" x14ac:dyDescent="0.2">
      <c r="B130" s="99" t="s">
        <v>56</v>
      </c>
      <c r="C130" s="99" t="s">
        <v>56</v>
      </c>
      <c r="D130" s="116">
        <f t="shared" si="0"/>
        <v>521</v>
      </c>
      <c r="E130" s="116"/>
    </row>
    <row r="131" spans="2:5" ht="12.6" x14ac:dyDescent="0.2">
      <c r="B131" s="99" t="s">
        <v>43</v>
      </c>
      <c r="C131" s="99" t="s">
        <v>43</v>
      </c>
      <c r="D131" s="116">
        <f t="shared" si="0"/>
        <v>347</v>
      </c>
      <c r="E131" s="116"/>
    </row>
    <row r="132" spans="2:5" ht="12.6" x14ac:dyDescent="0.2">
      <c r="B132" s="99" t="s">
        <v>71</v>
      </c>
      <c r="C132" s="99" t="s">
        <v>71</v>
      </c>
      <c r="D132" s="116">
        <f t="shared" si="0"/>
        <v>242</v>
      </c>
      <c r="E132" s="116"/>
    </row>
    <row r="133" spans="2:5" ht="12.6" x14ac:dyDescent="0.2">
      <c r="B133" s="99" t="s">
        <v>80</v>
      </c>
      <c r="C133" s="99" t="s">
        <v>80</v>
      </c>
      <c r="D133" s="116">
        <f t="shared" si="0"/>
        <v>521</v>
      </c>
      <c r="E133" s="116"/>
    </row>
    <row r="134" spans="2:5" ht="12.6" x14ac:dyDescent="0.2">
      <c r="B134" s="99" t="s">
        <v>123</v>
      </c>
      <c r="C134" s="99" t="s">
        <v>24</v>
      </c>
      <c r="D134" s="116">
        <f t="shared" si="0"/>
        <v>521</v>
      </c>
      <c r="E134" s="116"/>
    </row>
    <row r="135" spans="2:5" ht="12.6" x14ac:dyDescent="0.2">
      <c r="B135" s="99" t="s">
        <v>72</v>
      </c>
      <c r="C135" s="99" t="s">
        <v>72</v>
      </c>
      <c r="D135" s="116">
        <f t="shared" si="0"/>
        <v>521</v>
      </c>
      <c r="E135" s="116"/>
    </row>
    <row r="136" spans="2:5" ht="12.6" x14ac:dyDescent="0.2">
      <c r="B136" s="99" t="s">
        <v>73</v>
      </c>
      <c r="C136" s="99" t="s">
        <v>73</v>
      </c>
      <c r="D136" s="116">
        <f t="shared" si="0"/>
        <v>246</v>
      </c>
      <c r="E136" s="116"/>
    </row>
    <row r="137" spans="2:5" ht="12.6" x14ac:dyDescent="0.2">
      <c r="B137" s="99" t="s">
        <v>125</v>
      </c>
      <c r="C137" s="99" t="s">
        <v>25</v>
      </c>
      <c r="D137" s="116">
        <f t="shared" si="0"/>
        <v>521</v>
      </c>
      <c r="E137" s="116"/>
    </row>
    <row r="138" spans="2:5" ht="12.6" x14ac:dyDescent="0.2">
      <c r="B138" s="99" t="s">
        <v>26</v>
      </c>
      <c r="C138" s="99" t="s">
        <v>26</v>
      </c>
      <c r="D138" s="116">
        <f t="shared" si="0"/>
        <v>521</v>
      </c>
      <c r="E138" s="116"/>
    </row>
    <row r="139" spans="2:5" ht="12.6" x14ac:dyDescent="0.2">
      <c r="B139" s="99" t="s">
        <v>74</v>
      </c>
      <c r="C139" s="99" t="s">
        <v>74</v>
      </c>
      <c r="D139" s="116">
        <f t="shared" si="0"/>
        <v>521</v>
      </c>
      <c r="E139" s="116"/>
    </row>
    <row r="140" spans="2:5" ht="12.6" x14ac:dyDescent="0.2">
      <c r="B140" s="99" t="s">
        <v>126</v>
      </c>
      <c r="C140" s="99" t="s">
        <v>27</v>
      </c>
      <c r="D140" s="116">
        <f t="shared" si="0"/>
        <v>521</v>
      </c>
      <c r="E140" s="116"/>
    </row>
    <row r="141" spans="2:5" ht="12.6" x14ac:dyDescent="0.2">
      <c r="B141" s="99" t="s">
        <v>127</v>
      </c>
      <c r="C141" s="99" t="s">
        <v>28</v>
      </c>
      <c r="D141" s="116">
        <f t="shared" si="0"/>
        <v>521</v>
      </c>
      <c r="E141" s="116"/>
    </row>
    <row r="142" spans="2:5" ht="12.6" x14ac:dyDescent="0.2">
      <c r="B142" s="99" t="s">
        <v>129</v>
      </c>
      <c r="C142" s="99" t="s">
        <v>128</v>
      </c>
      <c r="D142" s="116">
        <f t="shared" si="0"/>
        <v>521</v>
      </c>
      <c r="E142" s="116"/>
    </row>
    <row r="143" spans="2:5" ht="12.6" x14ac:dyDescent="0.2">
      <c r="B143" s="99" t="s">
        <v>134</v>
      </c>
      <c r="C143" s="99" t="s">
        <v>29</v>
      </c>
      <c r="D143" s="116">
        <f t="shared" si="0"/>
        <v>521</v>
      </c>
      <c r="E143" s="116"/>
    </row>
    <row r="144" spans="2:5" ht="12.6" x14ac:dyDescent="0.2">
      <c r="B144" s="99" t="s">
        <v>75</v>
      </c>
      <c r="C144" s="99" t="s">
        <v>75</v>
      </c>
      <c r="D144" s="116">
        <f t="shared" si="0"/>
        <v>521</v>
      </c>
      <c r="E144" s="116"/>
    </row>
    <row r="145" spans="2:5" ht="12.6" x14ac:dyDescent="0.2">
      <c r="B145" s="99" t="s">
        <v>130</v>
      </c>
      <c r="C145" s="99" t="s">
        <v>30</v>
      </c>
      <c r="D145" s="116">
        <f t="shared" si="0"/>
        <v>369</v>
      </c>
      <c r="E145" s="116"/>
    </row>
    <row r="146" spans="2:5" ht="12.6" x14ac:dyDescent="0.2">
      <c r="B146" s="99" t="s">
        <v>132</v>
      </c>
      <c r="C146" s="99" t="s">
        <v>31</v>
      </c>
      <c r="D146" s="116">
        <f t="shared" si="0"/>
        <v>521</v>
      </c>
      <c r="E146" s="116"/>
    </row>
    <row r="147" spans="2:5" ht="12.6" x14ac:dyDescent="0.2">
      <c r="B147" s="99" t="s">
        <v>106</v>
      </c>
      <c r="C147" s="99" t="s">
        <v>32</v>
      </c>
      <c r="D147" s="116">
        <f t="shared" si="0"/>
        <v>521</v>
      </c>
      <c r="E147" s="116"/>
    </row>
    <row r="148" spans="2:5" ht="12.6" x14ac:dyDescent="0.2">
      <c r="B148" s="99" t="s">
        <v>133</v>
      </c>
      <c r="C148" s="99" t="s">
        <v>33</v>
      </c>
      <c r="D148" s="116">
        <f t="shared" si="0"/>
        <v>521</v>
      </c>
      <c r="E148" s="116"/>
    </row>
    <row r="149" spans="2:5" ht="12.6" x14ac:dyDescent="0.2">
      <c r="B149" s="99" t="s">
        <v>131</v>
      </c>
      <c r="C149" s="99" t="s">
        <v>44</v>
      </c>
      <c r="D149" s="116">
        <f t="shared" si="0"/>
        <v>287</v>
      </c>
      <c r="E149" s="116"/>
    </row>
    <row r="150" spans="2:5" ht="12.6" x14ac:dyDescent="0.2">
      <c r="B150" s="99" t="s">
        <v>118</v>
      </c>
      <c r="C150" s="99" t="s">
        <v>117</v>
      </c>
      <c r="D150" s="116">
        <f t="shared" si="0"/>
        <v>521</v>
      </c>
      <c r="E150" s="116"/>
    </row>
    <row r="151" spans="2:5" ht="12.6" x14ac:dyDescent="0.2">
      <c r="B151" s="99" t="s">
        <v>135</v>
      </c>
      <c r="C151" s="99" t="s">
        <v>76</v>
      </c>
      <c r="D151" s="116">
        <f t="shared" si="0"/>
        <v>521</v>
      </c>
      <c r="E151" s="116"/>
    </row>
    <row r="152" spans="2:5" ht="12.6" x14ac:dyDescent="0.2">
      <c r="B152" s="99" t="s">
        <v>136</v>
      </c>
      <c r="C152" s="99" t="s">
        <v>45</v>
      </c>
      <c r="D152" s="116">
        <f t="shared" si="0"/>
        <v>521</v>
      </c>
      <c r="E152" s="116"/>
    </row>
    <row r="153" spans="2:5" ht="12.6" x14ac:dyDescent="0.2">
      <c r="B153" s="99" t="s">
        <v>77</v>
      </c>
      <c r="C153" s="99" t="s">
        <v>77</v>
      </c>
      <c r="D153" s="116">
        <f t="shared" ref="D153:D165" si="1">D75</f>
        <v>356</v>
      </c>
      <c r="E153" s="116"/>
    </row>
    <row r="154" spans="2:5" ht="12.6" x14ac:dyDescent="0.2">
      <c r="B154" s="99" t="s">
        <v>99</v>
      </c>
      <c r="C154" s="99" t="s">
        <v>34</v>
      </c>
      <c r="D154" s="116">
        <f t="shared" si="1"/>
        <v>521</v>
      </c>
      <c r="E154" s="116"/>
    </row>
    <row r="155" spans="2:5" ht="12.6" x14ac:dyDescent="0.2">
      <c r="B155" s="99" t="s">
        <v>137</v>
      </c>
      <c r="C155" s="99" t="s">
        <v>46</v>
      </c>
      <c r="D155" s="116">
        <f t="shared" si="1"/>
        <v>411</v>
      </c>
      <c r="E155" s="116"/>
    </row>
    <row r="156" spans="2:5" ht="12.6" x14ac:dyDescent="0.2">
      <c r="B156" s="99" t="s">
        <v>138</v>
      </c>
      <c r="C156" s="99" t="s">
        <v>35</v>
      </c>
      <c r="D156" s="116">
        <f t="shared" si="1"/>
        <v>521</v>
      </c>
      <c r="E156" s="116"/>
    </row>
    <row r="157" spans="2:5" ht="12.6" x14ac:dyDescent="0.2">
      <c r="B157" s="99" t="s">
        <v>105</v>
      </c>
      <c r="C157" s="99" t="s">
        <v>36</v>
      </c>
      <c r="D157" s="116">
        <f t="shared" si="1"/>
        <v>521</v>
      </c>
      <c r="E157" s="116"/>
    </row>
    <row r="158" spans="2:5" ht="12.6" x14ac:dyDescent="0.2">
      <c r="B158" s="99" t="s">
        <v>139</v>
      </c>
      <c r="C158" s="99" t="s">
        <v>37</v>
      </c>
      <c r="D158" s="116">
        <f t="shared" si="1"/>
        <v>521</v>
      </c>
      <c r="E158" s="116"/>
    </row>
    <row r="159" spans="2:5" ht="12.6" x14ac:dyDescent="0.2">
      <c r="B159" s="99" t="s">
        <v>110</v>
      </c>
      <c r="C159" s="99" t="s">
        <v>38</v>
      </c>
      <c r="D159" s="116">
        <f t="shared" si="1"/>
        <v>521</v>
      </c>
      <c r="E159" s="116"/>
    </row>
    <row r="160" spans="2:5" ht="12.6" x14ac:dyDescent="0.2">
      <c r="B160" s="99" t="s">
        <v>142</v>
      </c>
      <c r="C160" s="99" t="s">
        <v>57</v>
      </c>
      <c r="D160" s="116">
        <f t="shared" si="1"/>
        <v>521</v>
      </c>
      <c r="E160" s="116"/>
    </row>
    <row r="161" spans="2:5" ht="12.6" x14ac:dyDescent="0.2">
      <c r="B161" s="99" t="s">
        <v>143</v>
      </c>
      <c r="C161" s="99" t="s">
        <v>58</v>
      </c>
      <c r="D161" s="116">
        <f t="shared" si="1"/>
        <v>521</v>
      </c>
      <c r="E161" s="116"/>
    </row>
    <row r="162" spans="2:5" ht="12.6" x14ac:dyDescent="0.2">
      <c r="B162" s="99" t="s">
        <v>47</v>
      </c>
      <c r="C162" s="99" t="s">
        <v>47</v>
      </c>
      <c r="D162" s="116">
        <f t="shared" si="1"/>
        <v>395</v>
      </c>
      <c r="E162" s="116"/>
    </row>
    <row r="163" spans="2:5" ht="12.6" x14ac:dyDescent="0.2">
      <c r="B163" s="99" t="s">
        <v>48</v>
      </c>
      <c r="C163" s="99" t="s">
        <v>48</v>
      </c>
      <c r="D163" s="116">
        <f t="shared" si="1"/>
        <v>298</v>
      </c>
      <c r="E163" s="116"/>
    </row>
    <row r="164" spans="2:5" ht="12.6" x14ac:dyDescent="0.2">
      <c r="B164" s="99" t="s">
        <v>92</v>
      </c>
      <c r="C164" s="99" t="s">
        <v>39</v>
      </c>
      <c r="D164" s="116">
        <f t="shared" si="1"/>
        <v>521</v>
      </c>
      <c r="E164" s="116"/>
    </row>
    <row r="165" spans="2:5" ht="12.6" x14ac:dyDescent="0.2">
      <c r="B165" s="100" t="s">
        <v>145</v>
      </c>
      <c r="C165" s="100" t="s">
        <v>144</v>
      </c>
      <c r="D165" s="116">
        <f t="shared" si="1"/>
        <v>521</v>
      </c>
      <c r="E165" s="116"/>
    </row>
  </sheetData>
  <mergeCells count="9">
    <mergeCell ref="G17:I17"/>
    <mergeCell ref="G25:I25"/>
    <mergeCell ref="G7:I7"/>
    <mergeCell ref="B1:D1"/>
    <mergeCell ref="B2:D2"/>
    <mergeCell ref="B3:D3"/>
    <mergeCell ref="B5:D5"/>
    <mergeCell ref="B7:D7"/>
    <mergeCell ref="G10:I10"/>
  </mergeCells>
  <phoneticPr fontId="0" type="noConversion"/>
  <pageMargins left="0.39370078740157483" right="0.19685039370078741" top="0.39370078740157483" bottom="0.39370078740157483" header="0" footer="0"/>
  <pageSetup paperSize="9" scale="37" orientation="portrait" r:id="rId1"/>
  <headerFooter alignWithMargins="0">
    <oddFooter>&amp;L&amp;"Verdana,Fed"&amp;10Elektronisk udgave (excel):&amp;"Verdana,Normal"
http://science.au.dk/om-fakultetet/naturvidenskabs-oekonomiportal&amp;RVersionsdato 19.05.2009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0728D1-5705-4BD2-A3E7-FF808D2BD95E}">
  <dimension ref="A1"/>
  <sheetViews>
    <sheetView topLeftCell="A19" workbookViewId="0">
      <selection activeCell="T47" sqref="T47"/>
    </sheetView>
  </sheetViews>
  <sheetFormatPr defaultRowHeight="10.199999999999999" x14ac:dyDescent="0.2"/>
  <sheetData>
    <row r="1" spans="1:1" x14ac:dyDescent="0.2">
      <c r="A1" s="126" t="s">
        <v>251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5</vt:i4>
      </vt:variant>
      <vt:variant>
        <vt:lpstr>Navngivne områder</vt:lpstr>
      </vt:variant>
      <vt:variant>
        <vt:i4>36</vt:i4>
      </vt:variant>
    </vt:vector>
  </HeadingPairs>
  <TitlesOfParts>
    <vt:vector size="41" baseType="lpstr">
      <vt:lpstr>Rejseafregning </vt:lpstr>
      <vt:lpstr>Valuta</vt:lpstr>
      <vt:lpstr>Beregninger</vt:lpstr>
      <vt:lpstr>Satser</vt:lpstr>
      <vt:lpstr>Hvordan gør du</vt:lpstr>
      <vt:lpstr>A</vt:lpstr>
      <vt:lpstr>AFDELING</vt:lpstr>
      <vt:lpstr>Afdelinger</vt:lpstr>
      <vt:lpstr>B</vt:lpstr>
      <vt:lpstr>Blanksrange</vt:lpstr>
      <vt:lpstr>Cr</vt:lpstr>
      <vt:lpstr>D</vt:lpstr>
      <vt:lpstr>Dansk</vt:lpstr>
      <vt:lpstr>Departments</vt:lpstr>
      <vt:lpstr>English</vt:lpstr>
      <vt:lpstr>F</vt:lpstr>
      <vt:lpstr>G</vt:lpstr>
      <vt:lpstr>H</vt:lpstr>
      <vt:lpstr>kurs1</vt:lpstr>
      <vt:lpstr>kurs2</vt:lpstr>
      <vt:lpstr>LANGUAGE</vt:lpstr>
      <vt:lpstr>MAD</vt:lpstr>
      <vt:lpstr>MADINDLAND</vt:lpstr>
      <vt:lpstr>MADUDLAND</vt:lpstr>
      <vt:lpstr>MADUDLAND1</vt:lpstr>
      <vt:lpstr>MADUDLAND2</vt:lpstr>
      <vt:lpstr>Nation</vt:lpstr>
      <vt:lpstr>NOBLANKSRANGE</vt:lpstr>
      <vt:lpstr>PHD</vt:lpstr>
      <vt:lpstr>PHDe</vt:lpstr>
      <vt:lpstr>RATE</vt:lpstr>
      <vt:lpstr>Sprog</vt:lpstr>
      <vt:lpstr>Type</vt:lpstr>
      <vt:lpstr>Typed</vt:lpstr>
      <vt:lpstr>Typee</vt:lpstr>
      <vt:lpstr>'Rejseafregning '!Udskriftsområde</vt:lpstr>
      <vt:lpstr>Valuta</vt:lpstr>
      <vt:lpstr>Valuta1</vt:lpstr>
      <vt:lpstr>Valuta2</vt:lpstr>
      <vt:lpstr>Valuta3</vt:lpstr>
      <vt:lpstr>Vtyper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Rejseafregning</dc:title>
  <dc:creator>Claus Pedersen</dc:creator>
  <cp:lastModifiedBy>Janni Ørskov Salomonsen</cp:lastModifiedBy>
  <cp:lastPrinted>2023-01-04T13:32:36Z</cp:lastPrinted>
  <dcterms:created xsi:type="dcterms:W3CDTF">2007-01-18T07:43:56Z</dcterms:created>
  <dcterms:modified xsi:type="dcterms:W3CDTF">2026-01-12T13:46:22Z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